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X:\TRO\Ettev_Külastusk_AT\1. SF_Starditoetus\Finantsprognoosid\"/>
    </mc:Choice>
  </mc:AlternateContent>
  <bookViews>
    <workbookView xWindow="0" yWindow="0" windowWidth="28800" windowHeight="11745"/>
  </bookViews>
  <sheets>
    <sheet name="Algandmed " sheetId="14" r:id="rId1"/>
    <sheet name="Tooted" sheetId="17" r:id="rId2"/>
    <sheet name="Kassavood" sheetId="13" r:id="rId3"/>
    <sheet name="Kasumiaruanne" sheetId="15" r:id="rId4"/>
    <sheet name="Töötajad" sheetId="18" r:id="rId5"/>
    <sheet name="Bilanss" sheetId="16" r:id="rId6"/>
    <sheet name="Majandusnäitajate koondtabel" sheetId="20" r:id="rId7"/>
    <sheet name="toetuse eelarve näidis" sheetId="19" r:id="rId8"/>
  </sheets>
  <definedNames>
    <definedName name="kohu1">Bilanss!$B$33:$B$38</definedName>
    <definedName name="kohu2">Bilanss!$B$35:$B$38</definedName>
    <definedName name="_xlnm.Print_Area" localSheetId="2">Kassavood!$A$3:$Q$100</definedName>
    <definedName name="_xlnm.Print_Area" localSheetId="3">Kasumiaruanne!$A$1:$F$72</definedName>
    <definedName name="_xlnm.Print_Area" localSheetId="1">Tooted!$A$1:$U$61</definedName>
    <definedName name="_xlnm.Print_Titles" localSheetId="2">Kassavood!$A:$A,Kassavood!$1:$2</definedName>
    <definedName name="_xlnm.Print_Titles" localSheetId="1">Tooted!$A:$D,Tooted!$1:$1</definedName>
    <definedName name="raha1">Bilanss!$B$6:$B$11</definedName>
    <definedName name="raha2">Bilanss!$B$7:$B$11</definedName>
  </definedNames>
  <calcPr calcId="152511"/>
</workbook>
</file>

<file path=xl/calcChain.xml><?xml version="1.0" encoding="utf-8"?>
<calcChain xmlns="http://schemas.openxmlformats.org/spreadsheetml/2006/main">
  <c r="C3" i="20" l="1"/>
  <c r="B68" i="15" l="1"/>
  <c r="G106" i="13"/>
  <c r="C106" i="13"/>
  <c r="D106" i="13"/>
  <c r="B106" i="13"/>
  <c r="E104" i="13"/>
  <c r="D104" i="13"/>
  <c r="C104" i="13"/>
  <c r="B104" i="13"/>
  <c r="B13" i="15" l="1"/>
  <c r="M21" i="17" l="1"/>
  <c r="B26" i="15" l="1"/>
  <c r="B21" i="15"/>
  <c r="B11" i="15" l="1"/>
  <c r="B69" i="15" s="1"/>
  <c r="B72" i="15" l="1"/>
  <c r="B54" i="15"/>
  <c r="B12" i="20" s="1"/>
  <c r="B7" i="20"/>
  <c r="B15" i="18"/>
  <c r="B70" i="15" s="1"/>
  <c r="B64" i="15"/>
  <c r="B63" i="15"/>
  <c r="B6" i="20"/>
  <c r="B4" i="20"/>
  <c r="B3" i="20"/>
  <c r="B8" i="20" l="1"/>
  <c r="B5" i="20"/>
  <c r="B13" i="20"/>
  <c r="B14" i="20" s="1"/>
  <c r="B71" i="15" l="1"/>
  <c r="B15" i="20"/>
  <c r="B9" i="20"/>
  <c r="D103" i="13"/>
  <c r="E103" i="13"/>
  <c r="F103" i="13"/>
  <c r="G103" i="13"/>
  <c r="H103" i="13"/>
  <c r="I103" i="13"/>
  <c r="J103" i="13"/>
  <c r="K103" i="13"/>
  <c r="L103" i="13"/>
  <c r="M103" i="13"/>
  <c r="B103" i="13"/>
  <c r="C103" i="13"/>
  <c r="D12" i="15"/>
  <c r="E12" i="15"/>
  <c r="F12" i="15"/>
  <c r="O103" i="13"/>
  <c r="P103" i="13"/>
  <c r="Q103" i="13"/>
  <c r="C109" i="13"/>
  <c r="C58" i="13"/>
  <c r="D58" i="13"/>
  <c r="E58" i="13"/>
  <c r="F58" i="13"/>
  <c r="G58" i="13"/>
  <c r="H58" i="13"/>
  <c r="I58" i="13"/>
  <c r="J58" i="13"/>
  <c r="K58" i="13"/>
  <c r="L58" i="13"/>
  <c r="M58" i="13"/>
  <c r="B58" i="13"/>
  <c r="O83" i="13"/>
  <c r="D52" i="15" s="1"/>
  <c r="Q83" i="13"/>
  <c r="P83" i="13"/>
  <c r="E52" i="15" s="1"/>
  <c r="N82" i="13"/>
  <c r="C51" i="15" s="1"/>
  <c r="Q84" i="13"/>
  <c r="F53" i="15" s="1"/>
  <c r="P84" i="13"/>
  <c r="E53" i="15" s="1"/>
  <c r="N26" i="13"/>
  <c r="M84" i="13"/>
  <c r="L84" i="13"/>
  <c r="K84" i="13"/>
  <c r="J84" i="13"/>
  <c r="I84" i="13"/>
  <c r="H84" i="13"/>
  <c r="G84" i="13"/>
  <c r="F84" i="13"/>
  <c r="E84" i="13"/>
  <c r="D84" i="13"/>
  <c r="C84" i="13"/>
  <c r="G16" i="19"/>
  <c r="F15" i="19"/>
  <c r="G15" i="19" s="1"/>
  <c r="G12" i="19"/>
  <c r="G11" i="19"/>
  <c r="F10" i="19"/>
  <c r="G10" i="19" s="1"/>
  <c r="G14" i="19"/>
  <c r="F13" i="19"/>
  <c r="G13" i="19" s="1"/>
  <c r="G9" i="19"/>
  <c r="G8" i="19"/>
  <c r="G7" i="19"/>
  <c r="G6" i="19"/>
  <c r="F5" i="19"/>
  <c r="B25" i="16"/>
  <c r="R1" i="17"/>
  <c r="R12" i="17"/>
  <c r="F23" i="15"/>
  <c r="F2" i="15"/>
  <c r="F16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W11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W10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W9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W8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W7" i="17"/>
  <c r="X6" i="17"/>
  <c r="Y6" i="17"/>
  <c r="Z6" i="17"/>
  <c r="AA6" i="17"/>
  <c r="AB6" i="17"/>
  <c r="AC6" i="17"/>
  <c r="AD6" i="17"/>
  <c r="AE6" i="17"/>
  <c r="AF6" i="17"/>
  <c r="AG6" i="17"/>
  <c r="AH6" i="17"/>
  <c r="AI6" i="17"/>
  <c r="W6" i="17"/>
  <c r="AM11" i="17"/>
  <c r="AM10" i="17"/>
  <c r="AM9" i="17"/>
  <c r="AM8" i="17"/>
  <c r="AM7" i="17"/>
  <c r="AM6" i="17"/>
  <c r="AL11" i="17"/>
  <c r="AL10" i="17"/>
  <c r="AL9" i="17"/>
  <c r="AL8" i="17"/>
  <c r="AL7" i="17"/>
  <c r="AL6" i="17"/>
  <c r="AK11" i="17"/>
  <c r="AK10" i="17"/>
  <c r="AK9" i="17"/>
  <c r="AK8" i="17"/>
  <c r="AK7" i="17"/>
  <c r="AK6" i="17"/>
  <c r="AM5" i="17"/>
  <c r="AK5" i="17"/>
  <c r="X5" i="17"/>
  <c r="Y5" i="17"/>
  <c r="Z5" i="17"/>
  <c r="AA5" i="17"/>
  <c r="AB5" i="17"/>
  <c r="AC5" i="17"/>
  <c r="AD5" i="17"/>
  <c r="AE5" i="17"/>
  <c r="AF5" i="17"/>
  <c r="AG5" i="17"/>
  <c r="AH5" i="17"/>
  <c r="AI5" i="17"/>
  <c r="W5" i="17"/>
  <c r="AL5" i="17"/>
  <c r="AM3" i="17"/>
  <c r="AL3" i="17"/>
  <c r="AK3" i="17"/>
  <c r="X3" i="17"/>
  <c r="Y3" i="17"/>
  <c r="Z3" i="17"/>
  <c r="AA3" i="17"/>
  <c r="AB3" i="17"/>
  <c r="AC3" i="17"/>
  <c r="AD3" i="17"/>
  <c r="AE3" i="17"/>
  <c r="AF3" i="17"/>
  <c r="AG3" i="17"/>
  <c r="AH3" i="17"/>
  <c r="AI3" i="17"/>
  <c r="W3" i="17"/>
  <c r="AK2" i="17"/>
  <c r="X2" i="17"/>
  <c r="Y2" i="17"/>
  <c r="Z2" i="17"/>
  <c r="AA2" i="17"/>
  <c r="AB2" i="17"/>
  <c r="AC2" i="17"/>
  <c r="AD2" i="17"/>
  <c r="AE2" i="17"/>
  <c r="AF2" i="17"/>
  <c r="AG2" i="17"/>
  <c r="AH2" i="17"/>
  <c r="AI2" i="17"/>
  <c r="W2" i="17"/>
  <c r="C15" i="18"/>
  <c r="C70" i="15" s="1"/>
  <c r="C13" i="20" s="1"/>
  <c r="E15" i="18"/>
  <c r="E70" i="15" s="1"/>
  <c r="E13" i="20" s="1"/>
  <c r="C47" i="16"/>
  <c r="D112" i="13"/>
  <c r="D114" i="13" s="1"/>
  <c r="E112" i="13"/>
  <c r="E114" i="13" s="1"/>
  <c r="F112" i="13"/>
  <c r="F114" i="13" s="1"/>
  <c r="G112" i="13"/>
  <c r="G114" i="13" s="1"/>
  <c r="H112" i="13"/>
  <c r="H114" i="13" s="1"/>
  <c r="I112" i="13"/>
  <c r="I114" i="13"/>
  <c r="J112" i="13"/>
  <c r="J114" i="13" s="1"/>
  <c r="K112" i="13"/>
  <c r="K114" i="13" s="1"/>
  <c r="L112" i="13"/>
  <c r="L114" i="13" s="1"/>
  <c r="M112" i="13"/>
  <c r="M114" i="13" s="1"/>
  <c r="C112" i="13"/>
  <c r="B112" i="13"/>
  <c r="B114" i="13"/>
  <c r="N44" i="13"/>
  <c r="Q112" i="13" s="1"/>
  <c r="F19" i="16" s="1"/>
  <c r="O43" i="13"/>
  <c r="P43" i="13"/>
  <c r="Q43" i="13"/>
  <c r="N28" i="13"/>
  <c r="C43" i="13"/>
  <c r="D43" i="13"/>
  <c r="E43" i="13"/>
  <c r="F43" i="13"/>
  <c r="G43" i="13"/>
  <c r="H43" i="13"/>
  <c r="I43" i="13"/>
  <c r="J43" i="13"/>
  <c r="K43" i="13"/>
  <c r="L43" i="13"/>
  <c r="M43" i="13"/>
  <c r="B43" i="13"/>
  <c r="D15" i="18"/>
  <c r="D70" i="15" s="1"/>
  <c r="D13" i="20" s="1"/>
  <c r="F15" i="18"/>
  <c r="F70" i="15" s="1"/>
  <c r="F13" i="20" s="1"/>
  <c r="P58" i="13"/>
  <c r="Q58" i="13"/>
  <c r="O58" i="13"/>
  <c r="N56" i="13"/>
  <c r="F2" i="18"/>
  <c r="D2" i="18"/>
  <c r="E2" i="18"/>
  <c r="C2" i="18"/>
  <c r="A14" i="18"/>
  <c r="A13" i="18"/>
  <c r="A12" i="18"/>
  <c r="A11" i="18"/>
  <c r="A10" i="18"/>
  <c r="A9" i="18"/>
  <c r="A8" i="18"/>
  <c r="A7" i="18"/>
  <c r="A6" i="18"/>
  <c r="A5" i="18"/>
  <c r="A4" i="18"/>
  <c r="A3" i="18"/>
  <c r="A57" i="15"/>
  <c r="A55" i="15"/>
  <c r="A52" i="15"/>
  <c r="A53" i="15"/>
  <c r="A51" i="15"/>
  <c r="A47" i="15"/>
  <c r="A48" i="15"/>
  <c r="A49" i="15"/>
  <c r="A46" i="15"/>
  <c r="A43" i="15"/>
  <c r="A44" i="15"/>
  <c r="A42" i="15"/>
  <c r="A38" i="15"/>
  <c r="A39" i="15"/>
  <c r="A40" i="15"/>
  <c r="A37" i="15"/>
  <c r="A35" i="15"/>
  <c r="A30" i="15"/>
  <c r="A31" i="15"/>
  <c r="A32" i="15"/>
  <c r="A33" i="15"/>
  <c r="A34" i="15"/>
  <c r="A29" i="15"/>
  <c r="A25" i="15"/>
  <c r="A24" i="15"/>
  <c r="A23" i="15"/>
  <c r="A20" i="15"/>
  <c r="A19" i="15"/>
  <c r="O37" i="13"/>
  <c r="P37" i="13"/>
  <c r="Q37" i="13"/>
  <c r="N24" i="13"/>
  <c r="C37" i="13"/>
  <c r="M107" i="13" s="1"/>
  <c r="M110" i="13" s="1"/>
  <c r="D37" i="13"/>
  <c r="E37" i="13"/>
  <c r="F37" i="13"/>
  <c r="G37" i="13"/>
  <c r="H37" i="13"/>
  <c r="I37" i="13"/>
  <c r="J37" i="13"/>
  <c r="K37" i="13"/>
  <c r="L37" i="13"/>
  <c r="M37" i="13"/>
  <c r="N37" i="13"/>
  <c r="B37" i="13"/>
  <c r="C107" i="13" s="1"/>
  <c r="C110" i="13" s="1"/>
  <c r="C2" i="16"/>
  <c r="D2" i="16"/>
  <c r="E2" i="16"/>
  <c r="F2" i="16"/>
  <c r="B12" i="16"/>
  <c r="C34" i="16"/>
  <c r="D34" i="16"/>
  <c r="E34" i="16"/>
  <c r="F34" i="16"/>
  <c r="B39" i="16"/>
  <c r="B44" i="16"/>
  <c r="B50" i="16"/>
  <c r="C2" i="15"/>
  <c r="D2" i="15"/>
  <c r="E2" i="15"/>
  <c r="D10" i="15"/>
  <c r="E10" i="15"/>
  <c r="F10" i="15"/>
  <c r="D20" i="15"/>
  <c r="E20" i="15"/>
  <c r="F20" i="15"/>
  <c r="D23" i="15"/>
  <c r="E23" i="15"/>
  <c r="D24" i="15"/>
  <c r="E24" i="15"/>
  <c r="F24" i="15"/>
  <c r="D25" i="15"/>
  <c r="E25" i="15"/>
  <c r="F25" i="15"/>
  <c r="D29" i="15"/>
  <c r="E29" i="15"/>
  <c r="F29" i="15"/>
  <c r="D30" i="15"/>
  <c r="E30" i="15"/>
  <c r="F30" i="15"/>
  <c r="D31" i="15"/>
  <c r="E31" i="15"/>
  <c r="F31" i="15"/>
  <c r="D32" i="15"/>
  <c r="E32" i="15"/>
  <c r="F32" i="15"/>
  <c r="D33" i="15"/>
  <c r="E33" i="15"/>
  <c r="F33" i="15"/>
  <c r="D34" i="15"/>
  <c r="E34" i="15"/>
  <c r="F34" i="15"/>
  <c r="D35" i="15"/>
  <c r="E35" i="15"/>
  <c r="F35" i="15"/>
  <c r="D37" i="15"/>
  <c r="E37" i="15"/>
  <c r="F37" i="15"/>
  <c r="D38" i="15"/>
  <c r="E38" i="15"/>
  <c r="F38" i="15"/>
  <c r="D39" i="15"/>
  <c r="E39" i="15"/>
  <c r="F39" i="15"/>
  <c r="D40" i="15"/>
  <c r="E40" i="15"/>
  <c r="F40" i="15"/>
  <c r="D42" i="15"/>
  <c r="E42" i="15"/>
  <c r="F42" i="15"/>
  <c r="D43" i="15"/>
  <c r="E43" i="15"/>
  <c r="F43" i="15"/>
  <c r="D44" i="15"/>
  <c r="E44" i="15"/>
  <c r="F44" i="15"/>
  <c r="D46" i="15"/>
  <c r="E46" i="15"/>
  <c r="F46" i="15"/>
  <c r="D47" i="15"/>
  <c r="E47" i="15"/>
  <c r="F47" i="15"/>
  <c r="D48" i="15"/>
  <c r="E48" i="15"/>
  <c r="F48" i="15"/>
  <c r="D49" i="15"/>
  <c r="E49" i="15"/>
  <c r="F49" i="15"/>
  <c r="D51" i="15"/>
  <c r="E51" i="15"/>
  <c r="F51" i="15"/>
  <c r="D55" i="15"/>
  <c r="E55" i="15"/>
  <c r="F55" i="15"/>
  <c r="D57" i="15"/>
  <c r="E57" i="15"/>
  <c r="F57" i="15"/>
  <c r="D66" i="15"/>
  <c r="E66" i="15"/>
  <c r="F66" i="15"/>
  <c r="B4" i="13"/>
  <c r="N4" i="13" s="1"/>
  <c r="N18" i="13"/>
  <c r="N20" i="13"/>
  <c r="C46" i="16" s="1"/>
  <c r="D46" i="16" s="1"/>
  <c r="E46" i="16" s="1"/>
  <c r="F46" i="16" s="1"/>
  <c r="N21" i="13"/>
  <c r="N22" i="13"/>
  <c r="M91" i="13" s="1"/>
  <c r="N91" i="13" s="1"/>
  <c r="N23" i="13"/>
  <c r="N25" i="13"/>
  <c r="N27" i="13"/>
  <c r="N29" i="13"/>
  <c r="N35" i="13"/>
  <c r="Q104" i="13" s="1"/>
  <c r="B36" i="13"/>
  <c r="C36" i="13"/>
  <c r="D36" i="13"/>
  <c r="I105" i="13" s="1"/>
  <c r="I111" i="13" s="1"/>
  <c r="E36" i="13"/>
  <c r="F36" i="13"/>
  <c r="G36" i="13"/>
  <c r="H36" i="13"/>
  <c r="I36" i="13"/>
  <c r="J36" i="13"/>
  <c r="K36" i="13"/>
  <c r="L36" i="13"/>
  <c r="M36" i="13"/>
  <c r="O36" i="13"/>
  <c r="P36" i="13"/>
  <c r="Q36" i="13"/>
  <c r="B38" i="13"/>
  <c r="C38" i="13"/>
  <c r="D38" i="13"/>
  <c r="E38" i="13"/>
  <c r="F38" i="13"/>
  <c r="G38" i="13"/>
  <c r="H38" i="13"/>
  <c r="I38" i="13"/>
  <c r="J38" i="13"/>
  <c r="K38" i="13"/>
  <c r="L38" i="13"/>
  <c r="M38" i="13"/>
  <c r="O38" i="13"/>
  <c r="P38" i="13"/>
  <c r="Q38" i="13"/>
  <c r="N39" i="13"/>
  <c r="N40" i="13"/>
  <c r="N41" i="13"/>
  <c r="N49" i="13"/>
  <c r="C20" i="15" s="1"/>
  <c r="N53" i="13"/>
  <c r="C23" i="15" s="1"/>
  <c r="N54" i="13"/>
  <c r="C24" i="15" s="1"/>
  <c r="N55" i="13"/>
  <c r="C25" i="15" s="1"/>
  <c r="N60" i="13"/>
  <c r="C29" i="15" s="1"/>
  <c r="N61" i="13"/>
  <c r="C30" i="15" s="1"/>
  <c r="N62" i="13"/>
  <c r="C31" i="15" s="1"/>
  <c r="N63" i="13"/>
  <c r="C32" i="15" s="1"/>
  <c r="N64" i="13"/>
  <c r="C33" i="15" s="1"/>
  <c r="N65" i="13"/>
  <c r="C34" i="15" s="1"/>
  <c r="N66" i="13"/>
  <c r="C35" i="15"/>
  <c r="N68" i="13"/>
  <c r="C37" i="15" s="1"/>
  <c r="N69" i="13"/>
  <c r="C38" i="15" s="1"/>
  <c r="N70" i="13"/>
  <c r="C39" i="15" s="1"/>
  <c r="N71" i="13"/>
  <c r="C40" i="15" s="1"/>
  <c r="N73" i="13"/>
  <c r="C42" i="15" s="1"/>
  <c r="N74" i="13"/>
  <c r="C43" i="15" s="1"/>
  <c r="N75" i="13"/>
  <c r="C44" i="15" s="1"/>
  <c r="N77" i="13"/>
  <c r="C46" i="15" s="1"/>
  <c r="N78" i="13"/>
  <c r="C47" i="15" s="1"/>
  <c r="N79" i="13"/>
  <c r="C48" i="15" s="1"/>
  <c r="N80" i="13"/>
  <c r="C49" i="15" s="1"/>
  <c r="C83" i="13"/>
  <c r="D83" i="13"/>
  <c r="E83" i="13"/>
  <c r="F83" i="13"/>
  <c r="G83" i="13"/>
  <c r="H83" i="13"/>
  <c r="I83" i="13"/>
  <c r="J83" i="13"/>
  <c r="K83" i="13"/>
  <c r="L83" i="13"/>
  <c r="M83" i="13"/>
  <c r="N85" i="13"/>
  <c r="C55" i="15" s="1"/>
  <c r="N87" i="13"/>
  <c r="C57" i="15" s="1"/>
  <c r="M90" i="13"/>
  <c r="N90" i="13" s="1"/>
  <c r="N92" i="13"/>
  <c r="C66" i="15" s="1"/>
  <c r="N94" i="13"/>
  <c r="C48" i="16" s="1"/>
  <c r="B96" i="13"/>
  <c r="N96" i="13" s="1"/>
  <c r="N98" i="13"/>
  <c r="N99" i="13"/>
  <c r="B108" i="13"/>
  <c r="C108" i="13"/>
  <c r="E108" i="13"/>
  <c r="F104" i="13"/>
  <c r="F108" i="13" s="1"/>
  <c r="G104" i="13"/>
  <c r="H104" i="13"/>
  <c r="I104" i="13"/>
  <c r="I108" i="13" s="1"/>
  <c r="J104" i="13"/>
  <c r="J108" i="13" s="1"/>
  <c r="K104" i="13"/>
  <c r="K108" i="13" s="1"/>
  <c r="L104" i="13"/>
  <c r="M104" i="13"/>
  <c r="M108" i="13" s="1"/>
  <c r="B109" i="13"/>
  <c r="D109" i="13"/>
  <c r="E106" i="13"/>
  <c r="E109" i="13" s="1"/>
  <c r="F106" i="13"/>
  <c r="F109" i="13" s="1"/>
  <c r="G109" i="13"/>
  <c r="H106" i="13"/>
  <c r="H109" i="13" s="1"/>
  <c r="I106" i="13"/>
  <c r="I109" i="13" s="1"/>
  <c r="J106" i="13"/>
  <c r="J109" i="13" s="1"/>
  <c r="K106" i="13"/>
  <c r="K109" i="13" s="1"/>
  <c r="L106" i="13"/>
  <c r="L109" i="13" s="1"/>
  <c r="M106" i="13"/>
  <c r="N106" i="13" s="1"/>
  <c r="C16" i="16" s="1"/>
  <c r="D108" i="13"/>
  <c r="G108" i="13"/>
  <c r="H108" i="13"/>
  <c r="L108" i="13"/>
  <c r="F1" i="17"/>
  <c r="G1" i="17"/>
  <c r="H1" i="17"/>
  <c r="I1" i="17"/>
  <c r="J1" i="17"/>
  <c r="K1" i="17"/>
  <c r="L1" i="17"/>
  <c r="M1" i="17"/>
  <c r="N1" i="17"/>
  <c r="O1" i="17"/>
  <c r="P1" i="17"/>
  <c r="Q1" i="17"/>
  <c r="S1" i="17"/>
  <c r="T1" i="17"/>
  <c r="U1" i="17"/>
  <c r="X1" i="17"/>
  <c r="Y1" i="17"/>
  <c r="Z1" i="17"/>
  <c r="AA1" i="17"/>
  <c r="AB1" i="17"/>
  <c r="AC1" i="17"/>
  <c r="AD1" i="17"/>
  <c r="AE1" i="17"/>
  <c r="AF1" i="17"/>
  <c r="AG1" i="17"/>
  <c r="AH1" i="17"/>
  <c r="AI1" i="17"/>
  <c r="AJ1" i="17"/>
  <c r="AK1" i="17"/>
  <c r="AL1" i="17"/>
  <c r="AM1" i="17"/>
  <c r="E2" i="17"/>
  <c r="F2" i="17"/>
  <c r="B10" i="13" s="1"/>
  <c r="G2" i="17"/>
  <c r="H2" i="17"/>
  <c r="H4" i="17" s="1"/>
  <c r="D11" i="13" s="1"/>
  <c r="I2" i="17"/>
  <c r="E10" i="13" s="1"/>
  <c r="J2" i="17"/>
  <c r="F10" i="13" s="1"/>
  <c r="K2" i="17"/>
  <c r="G10" i="13" s="1"/>
  <c r="L2" i="17"/>
  <c r="M2" i="17"/>
  <c r="I10" i="13" s="1"/>
  <c r="N2" i="17"/>
  <c r="N4" i="17" s="1"/>
  <c r="J11" i="13" s="1"/>
  <c r="O2" i="17"/>
  <c r="P2" i="17"/>
  <c r="L10" i="13" s="1"/>
  <c r="Q2" i="17"/>
  <c r="S2" i="17"/>
  <c r="O10" i="13" s="1"/>
  <c r="D8" i="15" s="1"/>
  <c r="T2" i="17"/>
  <c r="P10" i="13" s="1"/>
  <c r="E8" i="15" s="1"/>
  <c r="U2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S5" i="17"/>
  <c r="D19" i="15" s="1"/>
  <c r="T5" i="17"/>
  <c r="E19" i="15" s="1"/>
  <c r="U5" i="17"/>
  <c r="F19" i="15" s="1"/>
  <c r="E6" i="17"/>
  <c r="E7" i="17" s="1"/>
  <c r="F6" i="17"/>
  <c r="F7" i="17" s="1"/>
  <c r="G6" i="17"/>
  <c r="G7" i="17" s="1"/>
  <c r="H6" i="17"/>
  <c r="H7" i="17" s="1"/>
  <c r="I6" i="17"/>
  <c r="I7" i="17" s="1"/>
  <c r="J6" i="17"/>
  <c r="K6" i="17"/>
  <c r="K7" i="17"/>
  <c r="L6" i="17"/>
  <c r="L7" i="17" s="1"/>
  <c r="M6" i="17"/>
  <c r="M7" i="17" s="1"/>
  <c r="N6" i="17"/>
  <c r="O6" i="17"/>
  <c r="O7" i="17" s="1"/>
  <c r="P6" i="17"/>
  <c r="P7" i="17" s="1"/>
  <c r="Q6" i="17"/>
  <c r="Q7" i="17" s="1"/>
  <c r="S6" i="17"/>
  <c r="S7" i="17" s="1"/>
  <c r="T6" i="17"/>
  <c r="T7" i="17" s="1"/>
  <c r="U6" i="17"/>
  <c r="U7" i="17" s="1"/>
  <c r="E16" i="17"/>
  <c r="G16" i="17"/>
  <c r="H16" i="17"/>
  <c r="I16" i="17"/>
  <c r="I3" i="17" s="1"/>
  <c r="E7" i="13" s="1"/>
  <c r="E6" i="13" s="1"/>
  <c r="J16" i="17"/>
  <c r="K16" i="17"/>
  <c r="L16" i="17"/>
  <c r="M16" i="17"/>
  <c r="N16" i="17"/>
  <c r="O16" i="17"/>
  <c r="P16" i="17"/>
  <c r="Q16" i="17"/>
  <c r="AL2" i="17" s="1"/>
  <c r="S16" i="17"/>
  <c r="T16" i="17"/>
  <c r="U16" i="17"/>
  <c r="R17" i="17"/>
  <c r="E21" i="17"/>
  <c r="F21" i="17"/>
  <c r="G21" i="17"/>
  <c r="H21" i="17"/>
  <c r="I21" i="17"/>
  <c r="J21" i="17"/>
  <c r="K21" i="17"/>
  <c r="L21" i="17"/>
  <c r="N21" i="17"/>
  <c r="O21" i="17"/>
  <c r="P21" i="17"/>
  <c r="Q21" i="17"/>
  <c r="S21" i="17"/>
  <c r="T21" i="17"/>
  <c r="U21" i="17"/>
  <c r="R22" i="17"/>
  <c r="E26" i="17"/>
  <c r="W4" i="17"/>
  <c r="F26" i="17"/>
  <c r="X4" i="17" s="1"/>
  <c r="G26" i="17"/>
  <c r="H26" i="17"/>
  <c r="I26" i="17"/>
  <c r="AA4" i="17"/>
  <c r="J26" i="17"/>
  <c r="AB4" i="17"/>
  <c r="K26" i="17"/>
  <c r="AC4" i="17" s="1"/>
  <c r="L26" i="17"/>
  <c r="AD4" i="17" s="1"/>
  <c r="L9" i="17" s="1"/>
  <c r="M26" i="17"/>
  <c r="N26" i="17"/>
  <c r="O26" i="17"/>
  <c r="AG4" i="17"/>
  <c r="P26" i="17"/>
  <c r="AH4" i="17" s="1"/>
  <c r="Q26" i="17"/>
  <c r="S26" i="17"/>
  <c r="T26" i="17"/>
  <c r="U26" i="17"/>
  <c r="AM4" i="17"/>
  <c r="R27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S31" i="17"/>
  <c r="T31" i="17"/>
  <c r="U31" i="17"/>
  <c r="R32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S36" i="17"/>
  <c r="T36" i="17"/>
  <c r="U36" i="17"/>
  <c r="R37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S41" i="17"/>
  <c r="T41" i="17"/>
  <c r="U41" i="17"/>
  <c r="R42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S46" i="17"/>
  <c r="T46" i="17"/>
  <c r="U46" i="17"/>
  <c r="R47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S51" i="17"/>
  <c r="T51" i="17"/>
  <c r="U51" i="17"/>
  <c r="R52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S56" i="17"/>
  <c r="T56" i="17"/>
  <c r="U56" i="17"/>
  <c r="R57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S61" i="17"/>
  <c r="T61" i="17"/>
  <c r="U61" i="17"/>
  <c r="C114" i="13"/>
  <c r="C113" i="13"/>
  <c r="C115" i="13" s="1"/>
  <c r="G113" i="13"/>
  <c r="G115" i="13" s="1"/>
  <c r="AK4" i="17"/>
  <c r="B27" i="16"/>
  <c r="B10" i="20" s="1"/>
  <c r="Z4" i="17"/>
  <c r="AI4" i="17"/>
  <c r="AE4" i="17"/>
  <c r="B105" i="13"/>
  <c r="B111" i="13" s="1"/>
  <c r="Y4" i="17"/>
  <c r="AJ5" i="17"/>
  <c r="F52" i="15"/>
  <c r="I4" i="17"/>
  <c r="E11" i="13" s="1"/>
  <c r="G4" i="17"/>
  <c r="C11" i="13" s="1"/>
  <c r="K4" i="17"/>
  <c r="G11" i="13"/>
  <c r="C10" i="13"/>
  <c r="J4" i="17"/>
  <c r="F11" i="13"/>
  <c r="I107" i="13"/>
  <c r="I110" i="13" s="1"/>
  <c r="Q114" i="13" l="1"/>
  <c r="F61" i="15" s="1"/>
  <c r="O84" i="13"/>
  <c r="D53" i="15" s="1"/>
  <c r="Q10" i="13"/>
  <c r="F8" i="15" s="1"/>
  <c r="P8" i="17"/>
  <c r="L48" i="13" s="1"/>
  <c r="L88" i="13" s="1"/>
  <c r="O112" i="13"/>
  <c r="P112" i="13"/>
  <c r="P114" i="13" s="1"/>
  <c r="E61" i="15" s="1"/>
  <c r="F105" i="13"/>
  <c r="F111" i="13" s="1"/>
  <c r="L105" i="13"/>
  <c r="L111" i="13" s="1"/>
  <c r="J107" i="13"/>
  <c r="J110" i="13" s="1"/>
  <c r="K113" i="13"/>
  <c r="K115" i="13" s="1"/>
  <c r="AJ3" i="17"/>
  <c r="AJ6" i="17"/>
  <c r="I10" i="17"/>
  <c r="E9" i="13" s="1"/>
  <c r="E8" i="13" s="1"/>
  <c r="R61" i="17"/>
  <c r="R51" i="17"/>
  <c r="N104" i="13"/>
  <c r="C15" i="16" s="1"/>
  <c r="N38" i="13"/>
  <c r="O107" i="13" s="1"/>
  <c r="O110" i="13" s="1"/>
  <c r="C10" i="15"/>
  <c r="G107" i="13"/>
  <c r="G110" i="13" s="1"/>
  <c r="M3" i="17"/>
  <c r="I7" i="13" s="1"/>
  <c r="I14" i="13" s="1"/>
  <c r="I15" i="13" s="1"/>
  <c r="N107" i="13"/>
  <c r="E8" i="17"/>
  <c r="R46" i="17"/>
  <c r="N3" i="17"/>
  <c r="J7" i="13" s="1"/>
  <c r="J3" i="17"/>
  <c r="F7" i="13" s="1"/>
  <c r="E10" i="17"/>
  <c r="M8" i="17"/>
  <c r="I48" i="13" s="1"/>
  <c r="I88" i="13" s="1"/>
  <c r="H8" i="17"/>
  <c r="D48" i="13" s="1"/>
  <c r="D88" i="13" s="1"/>
  <c r="L8" i="17"/>
  <c r="H48" i="13" s="1"/>
  <c r="H88" i="13" s="1"/>
  <c r="D10" i="13"/>
  <c r="K9" i="17"/>
  <c r="G9" i="17"/>
  <c r="AJ11" i="17"/>
  <c r="F21" i="15"/>
  <c r="F6" i="20" s="1"/>
  <c r="M109" i="13"/>
  <c r="N58" i="13"/>
  <c r="F26" i="15"/>
  <c r="N109" i="13"/>
  <c r="C60" i="15" s="1"/>
  <c r="P107" i="13"/>
  <c r="P110" i="13" s="1"/>
  <c r="F14" i="13"/>
  <c r="F6" i="13"/>
  <c r="G5" i="19"/>
  <c r="F17" i="19"/>
  <c r="G17" i="19" s="1"/>
  <c r="G18" i="19" s="1"/>
  <c r="D107" i="13"/>
  <c r="D110" i="13" s="1"/>
  <c r="Q107" i="13"/>
  <c r="Q110" i="13" s="1"/>
  <c r="F3" i="17"/>
  <c r="B7" i="13" s="1"/>
  <c r="M4" i="17"/>
  <c r="I11" i="13" s="1"/>
  <c r="F54" i="15"/>
  <c r="F12" i="20" s="1"/>
  <c r="F14" i="20" s="1"/>
  <c r="C105" i="13"/>
  <c r="C111" i="13" s="1"/>
  <c r="E113" i="13"/>
  <c r="E115" i="13" s="1"/>
  <c r="I113" i="13"/>
  <c r="I115" i="13" s="1"/>
  <c r="R56" i="17"/>
  <c r="E3" i="17"/>
  <c r="E4" i="17" s="1"/>
  <c r="O3" i="17"/>
  <c r="K7" i="13" s="1"/>
  <c r="U8" i="17"/>
  <c r="Q48" i="13" s="1"/>
  <c r="Q88" i="13" s="1"/>
  <c r="I8" i="17"/>
  <c r="E48" i="13" s="1"/>
  <c r="E88" i="13" s="1"/>
  <c r="H107" i="13"/>
  <c r="H110" i="13" s="1"/>
  <c r="L107" i="13"/>
  <c r="L110" i="13" s="1"/>
  <c r="F4" i="17"/>
  <c r="B11" i="13" s="1"/>
  <c r="M10" i="17"/>
  <c r="I9" i="13" s="1"/>
  <c r="I8" i="13" s="1"/>
  <c r="P9" i="17"/>
  <c r="K10" i="17"/>
  <c r="G9" i="13" s="1"/>
  <c r="G8" i="13" s="1"/>
  <c r="T8" i="17"/>
  <c r="P48" i="13" s="1"/>
  <c r="J10" i="13"/>
  <c r="C41" i="16"/>
  <c r="D41" i="16" s="1"/>
  <c r="E41" i="16" s="1"/>
  <c r="F41" i="16" s="1"/>
  <c r="E26" i="15"/>
  <c r="B52" i="16"/>
  <c r="N112" i="13"/>
  <c r="C19" i="16" s="1"/>
  <c r="J9" i="17"/>
  <c r="E107" i="13"/>
  <c r="E110" i="13" s="1"/>
  <c r="K107" i="13"/>
  <c r="K110" i="13" s="1"/>
  <c r="U3" i="17"/>
  <c r="Q7" i="13" s="1"/>
  <c r="F5" i="15" s="1"/>
  <c r="F13" i="15" s="1"/>
  <c r="R5" i="17"/>
  <c r="C19" i="15" s="1"/>
  <c r="F107" i="13"/>
  <c r="F110" i="13" s="1"/>
  <c r="G10" i="17"/>
  <c r="C9" i="13" s="1"/>
  <c r="C8" i="13" s="1"/>
  <c r="L3" i="17"/>
  <c r="H7" i="13" s="1"/>
  <c r="H6" i="13" s="1"/>
  <c r="G8" i="17"/>
  <c r="C48" i="13" s="1"/>
  <c r="C88" i="13" s="1"/>
  <c r="D64" i="15"/>
  <c r="P106" i="13"/>
  <c r="P109" i="13" s="1"/>
  <c r="E60" i="15" s="1"/>
  <c r="D54" i="15"/>
  <c r="D12" i="20" s="1"/>
  <c r="D14" i="20" s="1"/>
  <c r="D26" i="15"/>
  <c r="B107" i="13"/>
  <c r="B110" i="13" s="1"/>
  <c r="M9" i="17"/>
  <c r="I16" i="13" s="1"/>
  <c r="R7" i="17"/>
  <c r="S8" i="17"/>
  <c r="O48" i="13" s="1"/>
  <c r="O88" i="13" s="1"/>
  <c r="Q8" i="17"/>
  <c r="F64" i="15"/>
  <c r="E54" i="15"/>
  <c r="E12" i="20" s="1"/>
  <c r="E14" i="20" s="1"/>
  <c r="E21" i="15"/>
  <c r="E6" i="20" s="1"/>
  <c r="E64" i="15"/>
  <c r="D21" i="15"/>
  <c r="D6" i="20" s="1"/>
  <c r="C33" i="16"/>
  <c r="D33" i="16" s="1"/>
  <c r="E33" i="16" s="1"/>
  <c r="F33" i="16" s="1"/>
  <c r="R31" i="17"/>
  <c r="H10" i="17"/>
  <c r="D9" i="13" s="1"/>
  <c r="D8" i="13" s="1"/>
  <c r="AJ4" i="17"/>
  <c r="H9" i="17"/>
  <c r="D16" i="13" s="1"/>
  <c r="H16" i="13"/>
  <c r="G16" i="13"/>
  <c r="F15" i="16"/>
  <c r="Q108" i="13"/>
  <c r="F59" i="15" s="1"/>
  <c r="O104" i="13"/>
  <c r="P104" i="13"/>
  <c r="J6" i="13"/>
  <c r="K3" i="17"/>
  <c r="G7" i="13" s="1"/>
  <c r="R16" i="17"/>
  <c r="AM2" i="17" s="1"/>
  <c r="U9" i="17" s="1"/>
  <c r="N83" i="13"/>
  <c r="C52" i="15" s="1"/>
  <c r="C64" i="15"/>
  <c r="E16" i="16"/>
  <c r="F8" i="17"/>
  <c r="AF4" i="17"/>
  <c r="N10" i="17"/>
  <c r="J9" i="13" s="1"/>
  <c r="J8" i="13" s="1"/>
  <c r="U10" i="17"/>
  <c r="Q9" i="13" s="1"/>
  <c r="J7" i="17"/>
  <c r="J8" i="17"/>
  <c r="F48" i="13" s="1"/>
  <c r="H105" i="13"/>
  <c r="H111" i="13" s="1"/>
  <c r="D105" i="13"/>
  <c r="D111" i="13" s="1"/>
  <c r="E105" i="13"/>
  <c r="E111" i="13" s="1"/>
  <c r="N36" i="13"/>
  <c r="K105" i="13"/>
  <c r="K111" i="13" s="1"/>
  <c r="G105" i="13"/>
  <c r="G111" i="13" s="1"/>
  <c r="J105" i="13"/>
  <c r="J111" i="13" s="1"/>
  <c r="M105" i="13"/>
  <c r="N9" i="17"/>
  <c r="J16" i="13" s="1"/>
  <c r="F9" i="17"/>
  <c r="AJ2" i="17"/>
  <c r="AL4" i="17"/>
  <c r="T9" i="17" s="1"/>
  <c r="T10" i="17"/>
  <c r="P9" i="13" s="1"/>
  <c r="S3" i="17"/>
  <c r="S10" i="17"/>
  <c r="N7" i="17"/>
  <c r="O8" i="17" s="1"/>
  <c r="K48" i="13" s="1"/>
  <c r="N8" i="17"/>
  <c r="J48" i="13" s="1"/>
  <c r="K10" i="13"/>
  <c r="O4" i="17"/>
  <c r="K11" i="13" s="1"/>
  <c r="H10" i="13"/>
  <c r="R2" i="17"/>
  <c r="L4" i="17"/>
  <c r="H11" i="13" s="1"/>
  <c r="R36" i="17"/>
  <c r="Q3" i="17"/>
  <c r="J10" i="17"/>
  <c r="F9" i="13" s="1"/>
  <c r="F8" i="13" s="1"/>
  <c r="M10" i="13"/>
  <c r="C26" i="15"/>
  <c r="O106" i="13"/>
  <c r="P88" i="13"/>
  <c r="E9" i="17"/>
  <c r="N84" i="13"/>
  <c r="C53" i="15" s="1"/>
  <c r="C12" i="15"/>
  <c r="N103" i="13"/>
  <c r="R41" i="17"/>
  <c r="Q10" i="17"/>
  <c r="R26" i="17"/>
  <c r="P10" i="17"/>
  <c r="L9" i="13" s="1"/>
  <c r="L8" i="13" s="1"/>
  <c r="P3" i="17"/>
  <c r="L7" i="13" s="1"/>
  <c r="T3" i="17"/>
  <c r="N108" i="13"/>
  <c r="Q106" i="13"/>
  <c r="D113" i="13"/>
  <c r="D115" i="13" s="1"/>
  <c r="L113" i="13"/>
  <c r="L115" i="13" s="1"/>
  <c r="B113" i="13"/>
  <c r="B115" i="13" s="1"/>
  <c r="J113" i="13"/>
  <c r="J115" i="13" s="1"/>
  <c r="H113" i="13"/>
  <c r="H115" i="13" s="1"/>
  <c r="F113" i="13"/>
  <c r="F115" i="13" s="1"/>
  <c r="M113" i="13"/>
  <c r="N43" i="13"/>
  <c r="Q9" i="17"/>
  <c r="O9" i="17"/>
  <c r="AJ8" i="17"/>
  <c r="F10" i="17"/>
  <c r="O10" i="17"/>
  <c r="K9" i="13" s="1"/>
  <c r="K8" i="13" s="1"/>
  <c r="R21" i="17"/>
  <c r="G3" i="17"/>
  <c r="L10" i="17"/>
  <c r="H9" i="13" s="1"/>
  <c r="H8" i="13" s="1"/>
  <c r="H3" i="17"/>
  <c r="D7" i="13" s="1"/>
  <c r="K8" i="17"/>
  <c r="G48" i="13" s="1"/>
  <c r="N114" i="13"/>
  <c r="I9" i="17"/>
  <c r="E16" i="13" s="1"/>
  <c r="S9" i="17"/>
  <c r="AJ7" i="17"/>
  <c r="AJ9" i="17"/>
  <c r="AJ10" i="17"/>
  <c r="F15" i="13" l="1"/>
  <c r="E19" i="16"/>
  <c r="U4" i="17"/>
  <c r="Q11" i="13" s="1"/>
  <c r="P7" i="13"/>
  <c r="Q14" i="13" s="1"/>
  <c r="T4" i="17"/>
  <c r="P11" i="13" s="1"/>
  <c r="J14" i="13"/>
  <c r="I6" i="13"/>
  <c r="O114" i="13"/>
  <c r="D61" i="15" s="1"/>
  <c r="D19" i="16"/>
  <c r="F3" i="20"/>
  <c r="C21" i="15"/>
  <c r="C6" i="20" s="1"/>
  <c r="N110" i="13"/>
  <c r="I17" i="13"/>
  <c r="I19" i="13" s="1"/>
  <c r="I102" i="13" s="1"/>
  <c r="L16" i="13"/>
  <c r="P4" i="17"/>
  <c r="L11" i="13" s="1"/>
  <c r="K6" i="13"/>
  <c r="K14" i="13"/>
  <c r="F19" i="19"/>
  <c r="G19" i="19" s="1"/>
  <c r="B6" i="13"/>
  <c r="B14" i="13"/>
  <c r="K15" i="13"/>
  <c r="O7" i="13"/>
  <c r="D5" i="15" s="1"/>
  <c r="D13" i="15" s="1"/>
  <c r="S4" i="17"/>
  <c r="O9" i="13"/>
  <c r="D6" i="15" s="1"/>
  <c r="M48" i="13"/>
  <c r="M88" i="13" s="1"/>
  <c r="M9" i="13"/>
  <c r="M8" i="13" s="1"/>
  <c r="M7" i="13"/>
  <c r="M14" i="13" s="1"/>
  <c r="M16" i="13"/>
  <c r="Q4" i="17"/>
  <c r="P16" i="13"/>
  <c r="N10" i="13"/>
  <c r="C8" i="15" s="1"/>
  <c r="D6" i="13"/>
  <c r="E14" i="13"/>
  <c r="L14" i="13"/>
  <c r="L6" i="13"/>
  <c r="Q8" i="13"/>
  <c r="Q15" i="13" s="1"/>
  <c r="F6" i="15"/>
  <c r="Q16" i="13"/>
  <c r="F16" i="13"/>
  <c r="F17" i="13" s="1"/>
  <c r="F19" i="13" s="1"/>
  <c r="R10" i="17"/>
  <c r="B9" i="13"/>
  <c r="G14" i="13"/>
  <c r="G6" i="13"/>
  <c r="E15" i="16"/>
  <c r="P108" i="13"/>
  <c r="E59" i="15" s="1"/>
  <c r="G88" i="13"/>
  <c r="M115" i="13"/>
  <c r="N115" i="13" s="1"/>
  <c r="N113" i="13"/>
  <c r="C23" i="16" s="1"/>
  <c r="C59" i="15"/>
  <c r="C17" i="16"/>
  <c r="O109" i="13"/>
  <c r="D60" i="15" s="1"/>
  <c r="D16" i="16"/>
  <c r="J88" i="13"/>
  <c r="E6" i="15"/>
  <c r="P8" i="13"/>
  <c r="M111" i="13"/>
  <c r="N111" i="13" s="1"/>
  <c r="N105" i="13"/>
  <c r="C22" i="16" s="1"/>
  <c r="P105" i="13"/>
  <c r="Q105" i="13"/>
  <c r="O105" i="13"/>
  <c r="F88" i="13"/>
  <c r="J15" i="13"/>
  <c r="J17" i="13" s="1"/>
  <c r="J19" i="13" s="1"/>
  <c r="D15" i="16"/>
  <c r="O108" i="13"/>
  <c r="D59" i="15" s="1"/>
  <c r="C61" i="15"/>
  <c r="C20" i="16"/>
  <c r="Q113" i="13"/>
  <c r="O113" i="13"/>
  <c r="P113" i="13"/>
  <c r="F16" i="16"/>
  <c r="Q109" i="13"/>
  <c r="F60" i="15" s="1"/>
  <c r="F63" i="15" s="1"/>
  <c r="F68" i="15" s="1"/>
  <c r="H14" i="13"/>
  <c r="C7" i="13"/>
  <c r="R3" i="17"/>
  <c r="R4" i="17" s="1"/>
  <c r="O16" i="13"/>
  <c r="K88" i="13"/>
  <c r="K16" i="13"/>
  <c r="B16" i="13"/>
  <c r="C16" i="13"/>
  <c r="R9" i="17"/>
  <c r="B48" i="13"/>
  <c r="R8" i="17"/>
  <c r="C54" i="15"/>
  <c r="C12" i="20" s="1"/>
  <c r="C14" i="20" s="1"/>
  <c r="F11" i="15"/>
  <c r="F9" i="15"/>
  <c r="E5" i="15" l="1"/>
  <c r="E13" i="15" s="1"/>
  <c r="D20" i="16"/>
  <c r="E20" i="16" s="1"/>
  <c r="F20" i="16" s="1"/>
  <c r="E3" i="20"/>
  <c r="C63" i="15"/>
  <c r="C68" i="15" s="1"/>
  <c r="F69" i="15"/>
  <c r="F49" i="16" s="1"/>
  <c r="F8" i="20"/>
  <c r="D3" i="20"/>
  <c r="J102" i="13"/>
  <c r="K93" i="13" s="1"/>
  <c r="K95" i="13" s="1"/>
  <c r="F62" i="15"/>
  <c r="F7" i="20" s="1"/>
  <c r="I30" i="13"/>
  <c r="O8" i="13"/>
  <c r="C24" i="16"/>
  <c r="C25" i="16" s="1"/>
  <c r="K17" i="13"/>
  <c r="K19" i="13" s="1"/>
  <c r="K30" i="13" s="1"/>
  <c r="M6" i="13"/>
  <c r="D9" i="15"/>
  <c r="D11" i="15"/>
  <c r="P14" i="13"/>
  <c r="P15" i="13" s="1"/>
  <c r="P17" i="13" s="1"/>
  <c r="P19" i="13" s="1"/>
  <c r="P102" i="13" s="1"/>
  <c r="O11" i="13"/>
  <c r="O14" i="13"/>
  <c r="O15" i="13" s="1"/>
  <c r="O17" i="13" s="1"/>
  <c r="O19" i="13" s="1"/>
  <c r="O102" i="13" s="1"/>
  <c r="M11" i="13"/>
  <c r="D7" i="15"/>
  <c r="D4" i="20"/>
  <c r="E7" i="15"/>
  <c r="E4" i="20"/>
  <c r="E5" i="20" s="1"/>
  <c r="C62" i="15"/>
  <c r="C7" i="20" s="1"/>
  <c r="F7" i="15"/>
  <c r="F4" i="20"/>
  <c r="F5" i="20" s="1"/>
  <c r="F102" i="13"/>
  <c r="F30" i="13"/>
  <c r="K102" i="13"/>
  <c r="E9" i="15"/>
  <c r="E11" i="15"/>
  <c r="N48" i="13"/>
  <c r="B88" i="13"/>
  <c r="N88" i="13" s="1"/>
  <c r="C6" i="13"/>
  <c r="C14" i="13"/>
  <c r="N7" i="13"/>
  <c r="E22" i="16"/>
  <c r="P111" i="13"/>
  <c r="D14" i="13"/>
  <c r="H15" i="13"/>
  <c r="H17" i="13" s="1"/>
  <c r="H19" i="13" s="1"/>
  <c r="H102" i="13" s="1"/>
  <c r="J93" i="13" s="1"/>
  <c r="J95" i="13" s="1"/>
  <c r="E23" i="16"/>
  <c r="P115" i="13"/>
  <c r="J30" i="13"/>
  <c r="D17" i="16"/>
  <c r="E17" i="16" s="1"/>
  <c r="F17" i="16" s="1"/>
  <c r="L15" i="13"/>
  <c r="L17" i="13" s="1"/>
  <c r="L19" i="13" s="1"/>
  <c r="L102" i="13" s="1"/>
  <c r="M15" i="13"/>
  <c r="M17" i="13" s="1"/>
  <c r="M19" i="13" s="1"/>
  <c r="M102" i="13" s="1"/>
  <c r="D23" i="16"/>
  <c r="O115" i="13"/>
  <c r="D22" i="16"/>
  <c r="O111" i="13"/>
  <c r="G15" i="13"/>
  <c r="G17" i="13" s="1"/>
  <c r="G19" i="13" s="1"/>
  <c r="G102" i="13" s="1"/>
  <c r="N16" i="13"/>
  <c r="F23" i="16"/>
  <c r="Q115" i="13"/>
  <c r="D63" i="15"/>
  <c r="D68" i="15" s="1"/>
  <c r="D62" i="15"/>
  <c r="D7" i="20" s="1"/>
  <c r="Q111" i="13"/>
  <c r="F22" i="16"/>
  <c r="E62" i="15"/>
  <c r="E7" i="20" s="1"/>
  <c r="E63" i="15"/>
  <c r="E68" i="15" s="1"/>
  <c r="B8" i="13"/>
  <c r="B15" i="13" s="1"/>
  <c r="N9" i="13"/>
  <c r="E15" i="13"/>
  <c r="E17" i="13" s="1"/>
  <c r="E19" i="13" s="1"/>
  <c r="E102" i="13" s="1"/>
  <c r="Q17" i="13"/>
  <c r="Q19" i="13" s="1"/>
  <c r="Q102" i="13" s="1"/>
  <c r="F72" i="15" l="1"/>
  <c r="E72" i="15"/>
  <c r="E69" i="15"/>
  <c r="E8" i="20"/>
  <c r="E15" i="20" s="1"/>
  <c r="D5" i="20"/>
  <c r="D69" i="15"/>
  <c r="D72" i="15" s="1"/>
  <c r="D8" i="20"/>
  <c r="D15" i="20" s="1"/>
  <c r="E15" i="15"/>
  <c r="F15" i="15"/>
  <c r="F15" i="20"/>
  <c r="N6" i="13"/>
  <c r="D24" i="16"/>
  <c r="D43" i="16" s="1"/>
  <c r="D44" i="16" s="1"/>
  <c r="C43" i="16"/>
  <c r="C44" i="16" s="1"/>
  <c r="G93" i="13"/>
  <c r="G95" i="13" s="1"/>
  <c r="B95" i="13"/>
  <c r="F71" i="15"/>
  <c r="F9" i="20"/>
  <c r="P30" i="13"/>
  <c r="P93" i="13"/>
  <c r="P95" i="13" s="1"/>
  <c r="O93" i="13"/>
  <c r="O95" i="13" s="1"/>
  <c r="M30" i="13"/>
  <c r="H30" i="13"/>
  <c r="C5" i="15"/>
  <c r="C13" i="15" s="1"/>
  <c r="C69" i="15" s="1"/>
  <c r="N11" i="13"/>
  <c r="Q93" i="13"/>
  <c r="Q95" i="13" s="1"/>
  <c r="Q30" i="13"/>
  <c r="D15" i="13"/>
  <c r="D17" i="13" s="1"/>
  <c r="D19" i="13" s="1"/>
  <c r="D102" i="13" s="1"/>
  <c r="F93" i="13" s="1"/>
  <c r="F95" i="13" s="1"/>
  <c r="M93" i="13"/>
  <c r="M95" i="13" s="1"/>
  <c r="E30" i="13"/>
  <c r="G30" i="13"/>
  <c r="L93" i="13"/>
  <c r="L95" i="13" s="1"/>
  <c r="O30" i="13"/>
  <c r="C15" i="13"/>
  <c r="C17" i="13" s="1"/>
  <c r="C19" i="13" s="1"/>
  <c r="C102" i="13" s="1"/>
  <c r="N14" i="13"/>
  <c r="B17" i="13"/>
  <c r="N8" i="13"/>
  <c r="C6" i="15"/>
  <c r="I93" i="13"/>
  <c r="I95" i="13" s="1"/>
  <c r="L30" i="13"/>
  <c r="C10" i="16"/>
  <c r="D10" i="16" s="1"/>
  <c r="E10" i="16" s="1"/>
  <c r="F10" i="16" s="1"/>
  <c r="H93" i="13"/>
  <c r="H95" i="13" s="1"/>
  <c r="C11" i="15" l="1"/>
  <c r="C72" i="15" s="1"/>
  <c r="E24" i="16"/>
  <c r="D25" i="16"/>
  <c r="C30" i="13"/>
  <c r="E71" i="15"/>
  <c r="E9" i="20"/>
  <c r="E49" i="16"/>
  <c r="F47" i="16" s="1"/>
  <c r="D71" i="15"/>
  <c r="D9" i="20"/>
  <c r="D49" i="16"/>
  <c r="E47" i="16" s="1"/>
  <c r="C7" i="15"/>
  <c r="C4" i="20"/>
  <c r="C5" i="20" s="1"/>
  <c r="N17" i="13"/>
  <c r="B19" i="13"/>
  <c r="N15" i="13"/>
  <c r="E93" i="13"/>
  <c r="E95" i="13" s="1"/>
  <c r="C7" i="16"/>
  <c r="D7" i="16" s="1"/>
  <c r="E7" i="16" s="1"/>
  <c r="F7" i="16" s="1"/>
  <c r="C9" i="15"/>
  <c r="D30" i="13"/>
  <c r="D15" i="15" l="1"/>
  <c r="E25" i="16"/>
  <c r="E43" i="16"/>
  <c r="E44" i="16" s="1"/>
  <c r="F24" i="16"/>
  <c r="F43" i="16" s="1"/>
  <c r="F44" i="16" s="1"/>
  <c r="C8" i="20"/>
  <c r="C15" i="20" s="1"/>
  <c r="B30" i="13"/>
  <c r="B97" i="13" s="1"/>
  <c r="C4" i="13" s="1"/>
  <c r="B102" i="13"/>
  <c r="N19" i="13"/>
  <c r="F25" i="16" l="1"/>
  <c r="C49" i="16"/>
  <c r="C50" i="16" s="1"/>
  <c r="C71" i="15"/>
  <c r="C9" i="20"/>
  <c r="N30" i="13"/>
  <c r="D93" i="13"/>
  <c r="D95" i="13" s="1"/>
  <c r="C93" i="13"/>
  <c r="D47" i="16" l="1"/>
  <c r="D48" i="16" s="1"/>
  <c r="E48" i="16" s="1"/>
  <c r="E50" i="16" s="1"/>
  <c r="N93" i="13"/>
  <c r="C95" i="13"/>
  <c r="C97" i="13" s="1"/>
  <c r="D4" i="13" s="1"/>
  <c r="D97" i="13" s="1"/>
  <c r="E4" i="13" s="1"/>
  <c r="E97" i="13" s="1"/>
  <c r="F4" i="13" s="1"/>
  <c r="F97" i="13" s="1"/>
  <c r="G4" i="13" s="1"/>
  <c r="G97" i="13" s="1"/>
  <c r="H4" i="13" s="1"/>
  <c r="H97" i="13" s="1"/>
  <c r="I4" i="13" s="1"/>
  <c r="I97" i="13" s="1"/>
  <c r="J4" i="13" s="1"/>
  <c r="J97" i="13" s="1"/>
  <c r="K4" i="13" s="1"/>
  <c r="K97" i="13" s="1"/>
  <c r="L4" i="13" s="1"/>
  <c r="L97" i="13" s="1"/>
  <c r="M4" i="13" s="1"/>
  <c r="M97" i="13" s="1"/>
  <c r="F48" i="16" l="1"/>
  <c r="F50" i="16" s="1"/>
  <c r="D50" i="16"/>
  <c r="N95" i="13"/>
  <c r="N97" i="13" s="1"/>
  <c r="C38" i="16"/>
  <c r="C39" i="16" l="1"/>
  <c r="C52" i="16" s="1"/>
  <c r="D38" i="16"/>
  <c r="O4" i="13"/>
  <c r="O97" i="13" s="1"/>
  <c r="C6" i="16"/>
  <c r="C12" i="16" s="1"/>
  <c r="C27" i="16" s="1"/>
  <c r="E38" i="16" l="1"/>
  <c r="D39" i="16"/>
  <c r="D52" i="16" s="1"/>
  <c r="D6" i="16"/>
  <c r="D12" i="16" s="1"/>
  <c r="D27" i="16" s="1"/>
  <c r="P4" i="13"/>
  <c r="P97" i="13" s="1"/>
  <c r="E6" i="16" l="1"/>
  <c r="E12" i="16" s="1"/>
  <c r="E27" i="16" s="1"/>
  <c r="Q4" i="13"/>
  <c r="Q97" i="13" s="1"/>
  <c r="F6" i="16" s="1"/>
  <c r="F12" i="16" s="1"/>
  <c r="F27" i="16" s="1"/>
  <c r="E39" i="16"/>
  <c r="E52" i="16" s="1"/>
  <c r="F38" i="16"/>
  <c r="F39" i="16" s="1"/>
  <c r="F52" i="16" s="1"/>
</calcChain>
</file>

<file path=xl/comments1.xml><?xml version="1.0" encoding="utf-8"?>
<comments xmlns="http://schemas.openxmlformats.org/spreadsheetml/2006/main">
  <authors>
    <author>Margit Karu</author>
  </authors>
  <commentList>
    <comment ref="E4" authorId="0" shapeId="0">
      <text>
        <r>
          <rPr>
            <sz val="14"/>
            <color indexed="10"/>
            <rFont val="Tahoma"/>
            <family val="2"/>
            <charset val="186"/>
          </rPr>
          <t>Täita ainult teie ettevõttele vajalikud rohelised lahtrid!
Ülejäänud jäävad tühjaks.
Ka järgmistes tabelites jäävad teile mittevajalikud lahtrid tühjaks.</t>
        </r>
      </text>
    </comment>
  </commentList>
</comments>
</file>

<file path=xl/comments2.xml><?xml version="1.0" encoding="utf-8"?>
<comments xmlns="http://schemas.openxmlformats.org/spreadsheetml/2006/main">
  <authors>
    <author>MargitK</author>
  </authors>
  <commentList>
    <comment ref="R90" authorId="0" shapeId="0">
      <text>
        <r>
          <rPr>
            <sz val="8"/>
            <color indexed="81"/>
            <rFont val="Tahoma"/>
            <family val="2"/>
            <charset val="186"/>
          </rPr>
          <t xml:space="preserve">Siia lahtrisse kirjutada 5. tegevusaastal tagasimaksmisele kuuluva pikaajalise laenu lühiajaline osa
</t>
        </r>
      </text>
    </comment>
  </commentList>
</comments>
</file>

<file path=xl/comments3.xml><?xml version="1.0" encoding="utf-8"?>
<comments xmlns="http://schemas.openxmlformats.org/spreadsheetml/2006/main">
  <authors>
    <author>KristiinaN</author>
  </authors>
  <commentList>
    <comment ref="B1" authorId="0" shapeId="0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müügitulu, siis tuleb need andmed  B tulpa kirja panna. Võtta aluseks raamatupidamisprogrammist väljavõetud kasumiarunne (</t>
        </r>
        <r>
          <rPr>
            <b/>
            <sz val="9"/>
            <color indexed="81"/>
            <rFont val="Tahoma"/>
            <family val="2"/>
            <charset val="186"/>
          </rPr>
          <t>jooksvale aastale</t>
        </r>
        <r>
          <rPr>
            <b/>
            <u/>
            <sz val="9"/>
            <color indexed="81"/>
            <rFont val="Tahoma"/>
            <family val="2"/>
            <charset val="186"/>
          </rPr>
          <t xml:space="preserve"> eelnev </t>
        </r>
        <r>
          <rPr>
            <b/>
            <sz val="9"/>
            <color indexed="81"/>
            <rFont val="Tahoma"/>
            <family val="2"/>
            <charset val="186"/>
          </rPr>
          <t xml:space="preserve">aasta, </t>
        </r>
        <r>
          <rPr>
            <i/>
            <sz val="9"/>
            <color indexed="81"/>
            <rFont val="Tahoma"/>
            <family val="2"/>
            <charset val="186"/>
          </rPr>
          <t>nt. 31.12.2019 või 31.12.2020 seis</t>
        </r>
        <r>
          <rPr>
            <sz val="9"/>
            <color indexed="81"/>
            <rFont val="Tahoma"/>
            <family val="2"/>
            <charset val="186"/>
          </rPr>
          <t>).</t>
        </r>
      </text>
    </comment>
  </commentList>
</comments>
</file>

<file path=xl/comments4.xml><?xml version="1.0" encoding="utf-8"?>
<comments xmlns="http://schemas.openxmlformats.org/spreadsheetml/2006/main">
  <authors>
    <author>KristiinaN</author>
  </authors>
  <commentList>
    <comment ref="B2" authorId="0" shapeId="0">
      <text>
        <r>
          <rPr>
            <sz val="9"/>
            <color indexed="81"/>
            <rFont val="Tahoma"/>
            <family val="2"/>
            <charset val="186"/>
          </rPr>
          <t>Kui teie ettevõtel on olnud juba ennem tabelite täitmist tegevus, siis tuleb need andmed B tulpa kirja panna ja 
sisestada siia kuupäev, millise seisuga olemasolevad andmed esitatakse.</t>
        </r>
      </text>
    </comment>
  </commentList>
</comments>
</file>

<file path=xl/comments5.xml><?xml version="1.0" encoding="utf-8"?>
<comments xmlns="http://schemas.openxmlformats.org/spreadsheetml/2006/main">
  <authors>
    <author>KristinS</author>
  </authors>
  <commentList>
    <comment ref="A15" authorId="0" shapeId="0">
      <text>
        <r>
          <rPr>
            <sz val="8"/>
            <color indexed="81"/>
            <rFont val="Segoe UI"/>
            <family val="2"/>
            <charset val="186"/>
          </rPr>
          <t>(tööjõukulud+põhivara kulum+ärikasum)/töötajate arv</t>
        </r>
      </text>
    </comment>
  </commentList>
</comments>
</file>

<file path=xl/comments6.xml><?xml version="1.0" encoding="utf-8"?>
<comments xmlns="http://schemas.openxmlformats.org/spreadsheetml/2006/main">
  <authors>
    <author>Mari V</author>
  </authors>
  <commentList>
    <comment ref="F18" authorId="0" shapeId="0">
      <text>
        <r>
          <rPr>
            <sz val="10"/>
            <color indexed="8"/>
            <rFont val="Times New Roman"/>
            <family val="1"/>
            <charset val="186"/>
          </rPr>
          <t xml:space="preserve">Märkida toetuse summa, max  starditoetus 15000 EUR
</t>
        </r>
      </text>
    </comment>
    <comment ref="F19" authorId="0" shapeId="0">
      <text>
        <r>
          <rPr>
            <sz val="10"/>
            <color indexed="8"/>
            <rFont val="Times New Roman"/>
            <family val="1"/>
            <charset val="186"/>
          </rPr>
          <t>Täidetakse automaatselt</t>
        </r>
        <r>
          <rPr>
            <sz val="10"/>
            <rFont val="Arial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<sst xmlns="http://schemas.openxmlformats.org/spreadsheetml/2006/main" count="380" uniqueCount="294">
  <si>
    <t>KASSAVOOGUDE PROGNOOS</t>
  </si>
  <si>
    <t>2.aasta</t>
  </si>
  <si>
    <t>3.aasta</t>
  </si>
  <si>
    <t>Raha jääk perioodi algul</t>
  </si>
  <si>
    <t>Müügitulu</t>
  </si>
  <si>
    <t>Muud äritulud (renditulu, intressitulu jne.)</t>
  </si>
  <si>
    <t>Käibemaks</t>
  </si>
  <si>
    <t>Kapitali sissemaksed</t>
  </si>
  <si>
    <t>Laekumine kokku</t>
  </si>
  <si>
    <t>Toore ja materjal</t>
  </si>
  <si>
    <t>Küte</t>
  </si>
  <si>
    <t>Elekter</t>
  </si>
  <si>
    <t>Rent</t>
  </si>
  <si>
    <t>Ostetud transporditeenused</t>
  </si>
  <si>
    <t>Autokütus</t>
  </si>
  <si>
    <t>Autohooldus ja remondikulud</t>
  </si>
  <si>
    <t>Sõidukite kindlustus</t>
  </si>
  <si>
    <t>GSM</t>
  </si>
  <si>
    <t>Tavatelefon</t>
  </si>
  <si>
    <t>Arvutustehnika ja tarkavaraga seotud kulu</t>
  </si>
  <si>
    <t>Pangakulu</t>
  </si>
  <si>
    <t>Reklaamikulud</t>
  </si>
  <si>
    <t>Kasutamine kokku</t>
  </si>
  <si>
    <t>Raha jääk perioodi lõpus</t>
  </si>
  <si>
    <t>Raha sissetulek</t>
  </si>
  <si>
    <t>Raha väljaminek</t>
  </si>
  <si>
    <t>Majandustegevuse käigus tekkivad kulud</t>
  </si>
  <si>
    <t>Turustuskulud</t>
  </si>
  <si>
    <t xml:space="preserve">Otseselt põhitegevuse eesmärgil soetused </t>
  </si>
  <si>
    <t>Ostuteenused</t>
  </si>
  <si>
    <t>Transpordikulud</t>
  </si>
  <si>
    <t>Üldhalduskulud</t>
  </si>
  <si>
    <t>Turustamisega seotud transporditeenused</t>
  </si>
  <si>
    <t>Turustamisega seotud autokütus</t>
  </si>
  <si>
    <t>Kantseleitarbed</t>
  </si>
  <si>
    <t>Bürootehnika</t>
  </si>
  <si>
    <t>Mööbel ja muu inventar</t>
  </si>
  <si>
    <t>Ruumide korrashoiukulud</t>
  </si>
  <si>
    <t>Koolituskulud</t>
  </si>
  <si>
    <t>IT ja sidekulud</t>
  </si>
  <si>
    <t>Valveteenused</t>
  </si>
  <si>
    <t>Personalikulu</t>
  </si>
  <si>
    <t>Ruumide majandamiskulud</t>
  </si>
  <si>
    <t>Ruumide kindlustus</t>
  </si>
  <si>
    <t>Maksud</t>
  </si>
  <si>
    <t>Muud kulud</t>
  </si>
  <si>
    <t>Ruumide remondikulud</t>
  </si>
  <si>
    <t>Seadmete hooldus ja remont</t>
  </si>
  <si>
    <t>Finantseerimistegevusest</t>
  </si>
  <si>
    <t>Investeerimistegevusest</t>
  </si>
  <si>
    <t>1. aasta kokku</t>
  </si>
  <si>
    <t>ühikuid (tundi, tk)</t>
  </si>
  <si>
    <t>ühe ühiku keskmine müügihind</t>
  </si>
  <si>
    <t>Käibemaksu korrigeerimised</t>
  </si>
  <si>
    <t>1. aasta</t>
  </si>
  <si>
    <t>KASUMIARUANDE PROGNOOS</t>
  </si>
  <si>
    <t>Müügitulud kokku</t>
  </si>
  <si>
    <t>Kulud kokku</t>
  </si>
  <si>
    <t>Amortisatsioon</t>
  </si>
  <si>
    <t>Hoonete amort</t>
  </si>
  <si>
    <t>Kasum majandustegevusest</t>
  </si>
  <si>
    <t>Tulud majandustegevusest</t>
  </si>
  <si>
    <t>Intressid</t>
  </si>
  <si>
    <t>I aasta</t>
  </si>
  <si>
    <t>II aasta</t>
  </si>
  <si>
    <t>III aasta</t>
  </si>
  <si>
    <t>Brutopalk (makstakse välja samal kuul)</t>
  </si>
  <si>
    <t>Finantskulud</t>
  </si>
  <si>
    <t>Seadmete amortisatsiooninorm %</t>
  </si>
  <si>
    <t>Hoonete amortisatsiooninorm %</t>
  </si>
  <si>
    <t>BILANSI PROGNOOS</t>
  </si>
  <si>
    <t>AKTIVA</t>
  </si>
  <si>
    <t>Raha ja pangakontod</t>
  </si>
  <si>
    <t>Nõuded ostjate vastu</t>
  </si>
  <si>
    <t>Mitmesugused nõuded</t>
  </si>
  <si>
    <t>Ettemaksed</t>
  </si>
  <si>
    <t>Valmistoodangu varu</t>
  </si>
  <si>
    <t>Käibevara kokku</t>
  </si>
  <si>
    <t>Sihtfinantseerimise abil soetatud põhivara</t>
  </si>
  <si>
    <t>Põhivara kokku</t>
  </si>
  <si>
    <t>AKTIVA KOKKU</t>
  </si>
  <si>
    <t>PASSIVA (KOHUSTUSED JA OMAKAPITAL)</t>
  </si>
  <si>
    <t>Ostjate ettemaksed toodete ja kaupade eest</t>
  </si>
  <si>
    <t>Võlad tarnijatele</t>
  </si>
  <si>
    <t>Mitmesugused võlad</t>
  </si>
  <si>
    <t>Maksuvõlad</t>
  </si>
  <si>
    <t>Lühiajalised kohutused kokku</t>
  </si>
  <si>
    <t>Pikaajalised laenud, kapitalirent</t>
  </si>
  <si>
    <t>Muud pikaajalised võlad</t>
  </si>
  <si>
    <t>Tulevaste perioodide tulud sihtfinantseerimisest</t>
  </si>
  <si>
    <t>Pikaajalised kohustused kokku</t>
  </si>
  <si>
    <t>Osakapital nimiväärtuses</t>
  </si>
  <si>
    <t>Kohustuslik reservkapital</t>
  </si>
  <si>
    <t>Eelmiste perioodide jaotamata kasum</t>
  </si>
  <si>
    <t>Aruandeaasta kasum</t>
  </si>
  <si>
    <t>Omakapital kokku</t>
  </si>
  <si>
    <t>PASSIVA KOKKU</t>
  </si>
  <si>
    <t>2. aasta</t>
  </si>
  <si>
    <t>3. aasta</t>
  </si>
  <si>
    <t>seadmete soetamine</t>
  </si>
  <si>
    <t>hoonete amordi arvestus</t>
  </si>
  <si>
    <t>seadmete amordi arvestus</t>
  </si>
  <si>
    <t>sihtfinantseerimise abil soetatud PV amort</t>
  </si>
  <si>
    <t>Pikajalised laenud kreeditoridelt (pangalaen jm.)</t>
  </si>
  <si>
    <t>Lühiajalised laenud kreeditoridelt (pangalaen jm.)</t>
  </si>
  <si>
    <t>Pikaajalise laenu tagasimaksed</t>
  </si>
  <si>
    <t>Lühiajalise laenu tagasimaksed</t>
  </si>
  <si>
    <t>Muud maksud (riigilõivud jms)</t>
  </si>
  <si>
    <t>Sotsiaalmaks (tasutakse järgmisel kuul)</t>
  </si>
  <si>
    <t>Töötuskindlustusmaks (tasutakse jrgm kuul)</t>
  </si>
  <si>
    <t>Toodetud tooteid/teenuseid perioodil</t>
  </si>
  <si>
    <t>Laekumine müügist arvestades krediiti müüki</t>
  </si>
  <si>
    <t>Tooraine varu</t>
  </si>
  <si>
    <t>Muud finantstulud</t>
  </si>
  <si>
    <t>Muud tulud (renditulu, intressitulu jne.)</t>
  </si>
  <si>
    <t>Intressid jms</t>
  </si>
  <si>
    <t>Finantsprognooside täitmise juhend</t>
  </si>
  <si>
    <t>sh eksport</t>
  </si>
  <si>
    <t>sh ekspordiks %-des</t>
  </si>
  <si>
    <t>4. aasta</t>
  </si>
  <si>
    <t>IV aasta</t>
  </si>
  <si>
    <t>ekspordi osatähtsus käibes</t>
  </si>
  <si>
    <t>Krediiti müügi osakaal käibest (kui suur osa müügiarvetest laekub järgmisel kuul) %</t>
  </si>
  <si>
    <t>Materiaalne põhivara (hooned)</t>
  </si>
  <si>
    <t>Akumuleeritud kulum (miinusmärgiga)</t>
  </si>
  <si>
    <t>Pikaajaliste laenude, kapitalirendi lühiajaline osa</t>
  </si>
  <si>
    <t>Lühiajalised võlakohustused (laenud, kapitalirent)</t>
  </si>
  <si>
    <t>sellest 0% määraga maksustatavat müügitulu</t>
  </si>
  <si>
    <r>
      <t xml:space="preserve">Kas ettevõte hakkab/on registreeritud käibemaksukohustuslaseks </t>
    </r>
    <r>
      <rPr>
        <sz val="10"/>
        <color indexed="10"/>
        <rFont val="Arial"/>
        <family val="2"/>
        <charset val="186"/>
      </rPr>
      <t>(jah/ei)</t>
    </r>
  </si>
  <si>
    <t>Jrk.nr.</t>
  </si>
  <si>
    <t>Kokku toote nr. 1 käive</t>
  </si>
  <si>
    <t>Kokku toote nr. 4 käive</t>
  </si>
  <si>
    <t>Kokku toote nr. 5 käive</t>
  </si>
  <si>
    <t>Toodetud ühikuid kokku tk</t>
  </si>
  <si>
    <t>Ühe ühiku keskmine müügihind kr</t>
  </si>
  <si>
    <t>materjali/kauba kulu ühikule kr</t>
  </si>
  <si>
    <r>
      <t xml:space="preserve">5. </t>
    </r>
    <r>
      <rPr>
        <b/>
        <i/>
        <sz val="10"/>
        <color indexed="12"/>
        <rFont val="Arial"/>
        <family val="2"/>
        <charset val="186"/>
      </rPr>
      <t>Sinisega</t>
    </r>
    <r>
      <rPr>
        <sz val="10"/>
        <rFont val="Arial"/>
        <family val="2"/>
        <charset val="186"/>
      </rPr>
      <t xml:space="preserve"> täidetud lahtrid genereeruvad automaatselt.</t>
    </r>
  </si>
  <si>
    <t>toodetav kogus kokku</t>
  </si>
  <si>
    <t>Siseriikliku käibe puhul rakenduv KM määr</t>
  </si>
  <si>
    <t>Käive kokku kr</t>
  </si>
  <si>
    <t>Kokku toote nr. 6 käive</t>
  </si>
  <si>
    <t>Kokku toote nr. 7 käive</t>
  </si>
  <si>
    <t>Kokku toote nr. 8 käive</t>
  </si>
  <si>
    <t>Kokku toote nr. 9 käive</t>
  </si>
  <si>
    <t>Kokku toote nr. 10 käive</t>
  </si>
  <si>
    <t>Kokku toote nr. 2 käive</t>
  </si>
  <si>
    <t>Kokku toote nr. 3 käive</t>
  </si>
  <si>
    <t>materjali/kauba keskmine laovaru vajadus %</t>
  </si>
  <si>
    <t>Kulutused toormele kokku kr</t>
  </si>
  <si>
    <t>Toorme maksumus toodetele kokku kr</t>
  </si>
  <si>
    <t>Toorme keskmine laovaru vajadus kr</t>
  </si>
  <si>
    <t>Toorme varu laos perioodi lõpuks kr</t>
  </si>
  <si>
    <t>Ekspordikäive kokku</t>
  </si>
  <si>
    <t>lauad</t>
  </si>
  <si>
    <t>toitlustamine</t>
  </si>
  <si>
    <t>majutus (toitlustuseta)</t>
  </si>
  <si>
    <t>Näide</t>
  </si>
  <si>
    <t>keskm.ühiku müügihind KM-ta</t>
  </si>
  <si>
    <t>käibemaksu arvestus</t>
  </si>
  <si>
    <t>hoonete soetamine, renoveerimine</t>
  </si>
  <si>
    <t>sihtfinantseerimise abil renoveeritud omandis olevad hooned</t>
  </si>
  <si>
    <t>sihtfinantseerimise abil renoveeritud omandis olevate hoonete amort</t>
  </si>
  <si>
    <r>
      <t>6. "</t>
    </r>
    <r>
      <rPr>
        <b/>
        <i/>
        <sz val="10"/>
        <color indexed="12"/>
        <rFont val="Arial"/>
        <family val="2"/>
        <charset val="186"/>
      </rPr>
      <t>Kasumiaruanne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genereeruvad "</t>
    </r>
    <r>
      <rPr>
        <b/>
        <i/>
        <sz val="10"/>
        <color indexed="12"/>
        <rFont val="Arial"/>
        <family val="2"/>
        <charset val="186"/>
      </rPr>
      <t>Algandmete</t>
    </r>
    <r>
      <rPr>
        <sz val="10"/>
        <rFont val="Arial"/>
        <family val="2"/>
        <charset val="186"/>
      </rPr>
      <t>" ja "</t>
    </r>
    <r>
      <rPr>
        <b/>
        <i/>
        <sz val="10"/>
        <color indexed="12"/>
        <rFont val="Arial"/>
        <family val="2"/>
        <charset val="186"/>
      </rPr>
      <t>Kassavood"</t>
    </r>
    <r>
      <rPr>
        <sz val="10"/>
        <rFont val="Arial"/>
        <family val="2"/>
        <charset val="186"/>
      </rPr>
      <t xml:space="preserve"> andmete alusel.</t>
    </r>
  </si>
  <si>
    <t>Algandmed seisuga</t>
  </si>
  <si>
    <t>Kokku töötasukulud</t>
  </si>
  <si>
    <t>Eelneva perioodi nõuded-kohustused (va. laenukohustused)</t>
  </si>
  <si>
    <r>
      <t>NB!</t>
    </r>
    <r>
      <rPr>
        <sz val="8"/>
        <rFont val="Arial"/>
        <family val="2"/>
      </rPr>
      <t xml:space="preserve"> Esimese kuu rahajäägile liidetakse juurde eelneva perioodi bilansis olevad nõuded ja avatakse maha lühiaj. kohustused (</t>
    </r>
    <r>
      <rPr>
        <sz val="8"/>
        <color indexed="10"/>
        <rFont val="Arial"/>
        <family val="2"/>
        <charset val="186"/>
      </rPr>
      <t>v.a. laenukoh</t>
    </r>
    <r>
      <rPr>
        <sz val="8"/>
        <rFont val="Arial"/>
        <family val="2"/>
      </rPr>
      <t>)</t>
    </r>
  </si>
  <si>
    <t>Arvutus põhineb eeldusel, et kõik lühiaj. nõuded laekuvad ja lühiaj. kohustused tasutakse nõuete/kohustuste tekkimisele järgneval kuul</t>
  </si>
  <si>
    <r>
      <t xml:space="preserve">Toote/teenuse andmed - </t>
    </r>
    <r>
      <rPr>
        <b/>
        <sz val="8"/>
        <color indexed="10"/>
        <rFont val="Arial"/>
        <family val="2"/>
        <charset val="186"/>
      </rPr>
      <t>asendage sinise kirjaga lahtrid oma toodete/teenusetega ning õigete käibemaksumääradega!</t>
    </r>
  </si>
  <si>
    <t xml:space="preserve">         sh muud halduskulud (amordita)</t>
  </si>
  <si>
    <t>Dividendide väljamaks (brutoumma)</t>
  </si>
  <si>
    <t>Muud laekunud toetused hoonete ehitamiseks ja omandis olevate ruumide renoveerimiseks</t>
  </si>
  <si>
    <t>Muud laekunud toetused muu põhivara ostuks</t>
  </si>
  <si>
    <t>Masinad, seadmed ja muu põhivara (soetusmaksumus miinus toetus)</t>
  </si>
  <si>
    <t>Omandis olevate hoonete renoveerimine (kapitaliseeritud kulud), soetatud hooned, hoonete ehitamine</t>
  </si>
  <si>
    <t>Toetusega kaetavad kulutused (täpsusta)</t>
  </si>
  <si>
    <t>käiberentaablus</t>
  </si>
  <si>
    <t>lisandväärtus töötaja kohta</t>
  </si>
  <si>
    <t>keskmine töötajate arv</t>
  </si>
  <si>
    <t>Töötajate arv</t>
  </si>
  <si>
    <t>Materiaalse põhivara soetus</t>
  </si>
  <si>
    <t>Immateriaalse põhivara (litsentsid, kaubamärgid, tarkvara jms) soetus</t>
  </si>
  <si>
    <t>Immateriaalne põhivara (soetusmaksumus miinus toetus)</t>
  </si>
  <si>
    <t>Immateriaalse põhivara amortisatsiooninorm %</t>
  </si>
  <si>
    <t>stardi- või kasvuitoetuse abil soetatud materiaalne PV</t>
  </si>
  <si>
    <t>stardi- või kasvuitoetuse abil soetatud immateriaalne PV</t>
  </si>
  <si>
    <t>immateriaalse põhivara soetamine</t>
  </si>
  <si>
    <t>immateriaalse põhivara amort</t>
  </si>
  <si>
    <t>stardi- või kasvuitoetuse abil soetatud immateriaalse PV amort</t>
  </si>
  <si>
    <t>Immateriaalse põhivara amort</t>
  </si>
  <si>
    <t>Seadmete ja muu põhivara amort</t>
  </si>
  <si>
    <t>Materiaalne põhivara (seadmed ja muud)</t>
  </si>
  <si>
    <t>Materiaalne põhivara</t>
  </si>
  <si>
    <t>Immateriaalne põhivara</t>
  </si>
  <si>
    <t>Immateriaalse põhivara kulum</t>
  </si>
  <si>
    <r>
      <t xml:space="preserve">Muud laekunud toetused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</rPr>
      <t>katteks</t>
    </r>
  </si>
  <si>
    <t>Muud toetuse abil soetatud muu põhivara toetuse summa</t>
  </si>
  <si>
    <t>Muu toetuse abil ehitatud hoone, omandis olevate ruumdie renoveerimise toetuse summa</t>
  </si>
  <si>
    <t>Sihtfinantseerimise abil soetatud materiaalne põhivara</t>
  </si>
  <si>
    <t>Sihtfinantseerimise abil soetatud immateriaalne põhivara</t>
  </si>
  <si>
    <t>9% KM määraga maksustatav käive</t>
  </si>
  <si>
    <t>sellest 9% määraga maksustatavat müügitulu</t>
  </si>
  <si>
    <t>näide 9% KM</t>
  </si>
  <si>
    <t>sellest 20% määraga maksustavat müügitulu</t>
  </si>
  <si>
    <t>materjali/kauba kulu ühikule</t>
  </si>
  <si>
    <t xml:space="preserve">materjali/kauba kulu ühikule </t>
  </si>
  <si>
    <t xml:space="preserve">Müügitulu kasv võrreldes eelmise aastaga </t>
  </si>
  <si>
    <r>
      <t>1. Täita ära "</t>
    </r>
    <r>
      <rPr>
        <b/>
        <i/>
        <sz val="10"/>
        <color indexed="12"/>
        <rFont val="Arial"/>
        <family val="2"/>
        <charset val="186"/>
      </rPr>
      <t>Algandmed</t>
    </r>
    <r>
      <rPr>
        <sz val="10"/>
        <rFont val="Arial"/>
        <family val="2"/>
        <charset val="186"/>
      </rPr>
      <t>" lehel kõik vajalikud rohelise taustaga lahtrid!</t>
    </r>
  </si>
  <si>
    <t>sh ekspordiks eurodes</t>
  </si>
  <si>
    <t>NR</t>
  </si>
  <si>
    <t>Tegevuste kirjeldus kululiikide lõikes</t>
  </si>
  <si>
    <t>Nimetus</t>
  </si>
  <si>
    <t>Hinnapakkumise tegija nimi</t>
  </si>
  <si>
    <t>Ühik</t>
  </si>
  <si>
    <t>Ühiku maksumus</t>
  </si>
  <si>
    <t>Maksumus</t>
  </si>
  <si>
    <t>1.</t>
  </si>
  <si>
    <t>Masinate, seadmete või muu materiaalse põhivara soetamise kulud</t>
  </si>
  <si>
    <t>1.1.</t>
  </si>
  <si>
    <t>1.2.</t>
  </si>
  <si>
    <t>1.3.</t>
  </si>
  <si>
    <t>1.4.</t>
  </si>
  <si>
    <t>2.1.</t>
  </si>
  <si>
    <t>2.2.</t>
  </si>
  <si>
    <t>Äriprojekti eesmärkide elluviimiseks vajalike turundustegevuste läbiviimise kulud</t>
  </si>
  <si>
    <t>3.1.</t>
  </si>
  <si>
    <t>Rakendustarkvara soetamise ja arendamise kulud</t>
  </si>
  <si>
    <t>4.1.</t>
  </si>
  <si>
    <t>Rakendustarkvara soetamise kulu</t>
  </si>
  <si>
    <t>Rakendustarkvara arendamise (programmeerimine, juurutamine, testimine) kulu</t>
  </si>
  <si>
    <t>Projekti maksumus kokku:</t>
  </si>
  <si>
    <t>Toetusena taotletav summa</t>
  </si>
  <si>
    <t>Omafinantseeringu summa</t>
  </si>
  <si>
    <t>EUR</t>
  </si>
  <si>
    <t>piirmäär</t>
  </si>
  <si>
    <t>max. toetuse summa</t>
  </si>
  <si>
    <t>PROJEKTI EELARVE NÄIDIS</t>
  </si>
  <si>
    <t>Starditoetus</t>
  </si>
  <si>
    <t>turundustegevused</t>
  </si>
  <si>
    <t xml:space="preserve">starditoetuse  projekti eelarve </t>
  </si>
  <si>
    <t>eurot</t>
  </si>
  <si>
    <t>toetusena taotlev summa</t>
  </si>
  <si>
    <t xml:space="preserve">omafinantseering </t>
  </si>
  <si>
    <t xml:space="preserve">1. </t>
  </si>
  <si>
    <t xml:space="preserve">Näited: </t>
  </si>
  <si>
    <r>
      <t xml:space="preserve">2. Täita ära </t>
    </r>
    <r>
      <rPr>
        <b/>
        <i/>
        <sz val="10"/>
        <color indexed="12"/>
        <rFont val="Arial"/>
        <family val="2"/>
        <charset val="186"/>
      </rPr>
      <t>"Tooted"</t>
    </r>
    <r>
      <rPr>
        <sz val="10"/>
        <rFont val="Arial"/>
        <family val="2"/>
        <charset val="186"/>
      </rPr>
      <t xml:space="preserve"> lehel kõik vajalikud andmed! NB! </t>
    </r>
    <r>
      <rPr>
        <b/>
        <i/>
        <sz val="10"/>
        <color indexed="12"/>
        <rFont val="Arial"/>
        <family val="2"/>
        <charset val="186"/>
      </rPr>
      <t xml:space="preserve">Sinisega täidetud lahtrid on näitlikud ja neid saab muuta! </t>
    </r>
  </si>
  <si>
    <r>
      <t xml:space="preserve">7. Toetuse eelarve näidise lehel on Teil võimalik proovida koostada projekti eelarvet.  </t>
    </r>
    <r>
      <rPr>
        <sz val="10"/>
        <color indexed="10"/>
        <rFont val="Arial"/>
        <family val="2"/>
        <charset val="186"/>
      </rPr>
      <t>Eelarve täitmine on vabatahtlik.</t>
    </r>
  </si>
  <si>
    <t>TÄITMINE VABATAHTLIK</t>
  </si>
  <si>
    <r>
      <t xml:space="preserve">Starditoetus </t>
    </r>
    <r>
      <rPr>
        <b/>
        <sz val="8"/>
        <rFont val="Arial"/>
        <family val="2"/>
        <charset val="186"/>
      </rPr>
      <t>materiaalse</t>
    </r>
    <r>
      <rPr>
        <sz val="8"/>
        <rFont val="Arial"/>
        <family val="2"/>
      </rPr>
      <t xml:space="preserve"> põhivara soetamiseks</t>
    </r>
  </si>
  <si>
    <r>
      <t xml:space="preserve">Stardtoetus </t>
    </r>
    <r>
      <rPr>
        <b/>
        <sz val="8"/>
        <rFont val="Arial"/>
        <family val="2"/>
        <charset val="186"/>
      </rPr>
      <t>immateriaalse</t>
    </r>
    <r>
      <rPr>
        <sz val="8"/>
        <rFont val="Arial"/>
        <family val="2"/>
      </rPr>
      <t xml:space="preserve"> põhivara soetuseks</t>
    </r>
  </si>
  <si>
    <r>
      <t xml:space="preserve">Starditoetus </t>
    </r>
    <r>
      <rPr>
        <b/>
        <sz val="8"/>
        <rFont val="Arial"/>
        <family val="2"/>
        <charset val="186"/>
      </rPr>
      <t xml:space="preserve">kulude </t>
    </r>
    <r>
      <rPr>
        <sz val="8"/>
        <rFont val="Arial"/>
        <family val="2"/>
        <charset val="186"/>
      </rPr>
      <t>(turundus, personali jne.)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katteks</t>
    </r>
  </si>
  <si>
    <r>
      <rPr>
        <b/>
        <sz val="8"/>
        <rFont val="Arial"/>
        <family val="2"/>
        <charset val="186"/>
      </rPr>
      <t>Starditoetus</t>
    </r>
    <r>
      <rPr>
        <sz val="8"/>
        <rFont val="Arial"/>
        <family val="2"/>
      </rPr>
      <t>e abil soetatud materiaalse põhivara (masinad ja seadmed) toetuse summa</t>
    </r>
  </si>
  <si>
    <r>
      <rPr>
        <b/>
        <sz val="8"/>
        <rFont val="Arial"/>
        <family val="2"/>
        <charset val="186"/>
      </rPr>
      <t>Starditoetuse</t>
    </r>
    <r>
      <rPr>
        <sz val="8"/>
        <rFont val="Arial"/>
        <family val="2"/>
      </rPr>
      <t xml:space="preserve"> abil soetatud </t>
    </r>
    <r>
      <rPr>
        <b/>
        <sz val="8"/>
        <rFont val="Arial"/>
        <family val="2"/>
        <charset val="186"/>
      </rPr>
      <t xml:space="preserve">immateriaalse põhivara </t>
    </r>
    <r>
      <rPr>
        <sz val="8"/>
        <rFont val="Arial"/>
        <family val="2"/>
      </rPr>
      <t>toetuse summa</t>
    </r>
  </si>
  <si>
    <t xml:space="preserve">STARDITOETUSE TAOTLUSE  </t>
  </si>
  <si>
    <t>4.</t>
  </si>
  <si>
    <t>Ettevõtte käivitamiseks ja toimimiseks vajalikud tööjõukulud</t>
  </si>
  <si>
    <t>Personalukulu</t>
  </si>
  <si>
    <t xml:space="preserve">Tulud sihtfinantseerimisest </t>
  </si>
  <si>
    <t>jah</t>
  </si>
  <si>
    <t>toetatud palk/turunduskulu</t>
  </si>
  <si>
    <t>trepid</t>
  </si>
  <si>
    <t>NB! Summad tuleb näidata ilma käibemaksuta</t>
  </si>
  <si>
    <r>
      <t xml:space="preserve">Taotleja tähtsamad majandusnäitajad (täitub automaatselt, kui ülejäänud lehed on täidetud)
</t>
    </r>
    <r>
      <rPr>
        <sz val="10"/>
        <rFont val="Arial"/>
        <family val="2"/>
        <charset val="186"/>
      </rPr>
      <t>Selle tabeli abil saab kontrollida taotlusvormi samanimelisse tabelisse sisestatud andmete õigsust.</t>
    </r>
  </si>
  <si>
    <t xml:space="preserve">Näitaja </t>
  </si>
  <si>
    <t>Ekspordi osakaal (%)</t>
  </si>
  <si>
    <t>Keskmine töötajate arv</t>
  </si>
  <si>
    <t>Tööjõukulu töötaja kohta</t>
  </si>
  <si>
    <t>Lisandväärtus töötaja kohta</t>
  </si>
  <si>
    <t xml:space="preserve">Taotlusele eelnev majandusaasta
</t>
  </si>
  <si>
    <t>Ekspordi müügitulu</t>
  </si>
  <si>
    <t>Kaubad, toore, materjal, teenused</t>
  </si>
  <si>
    <t>Põhivara kulum</t>
  </si>
  <si>
    <t>Ärikasum/-kahjum (EBIT)</t>
  </si>
  <si>
    <t>Puhaskasum/-kahjum</t>
  </si>
  <si>
    <t>Bilansimaht</t>
  </si>
  <si>
    <t>Investeeringud tootearendusse</t>
  </si>
  <si>
    <t>Tööjõukulud</t>
  </si>
  <si>
    <t>Ärikasum</t>
  </si>
  <si>
    <t>Taotlusele eelnev majandusaasta</t>
  </si>
  <si>
    <t>lisa ise</t>
  </si>
  <si>
    <t>x</t>
  </si>
  <si>
    <t>Uue materiaalse põhivara soetamise kulu, sh. transpordi-, seadistamise- ja paigaldamise kulu</t>
  </si>
  <si>
    <t>Kasutatud materiaalse põhivara soetamise kulu, sh. transpordi-, seadistamise- ja paigaldamise kulu</t>
  </si>
  <si>
    <t>Materiaalse põhivara kapitalirendi tüüpi liisingu kulu, sh. transpordi-, seadistamise- ja paigaldamise kulu</t>
  </si>
  <si>
    <t>Kasutatud materiaalse põhivara kapitalirendi tüüpi liisingu kulu, sh. transpordi-, seadistamise- ja paigaldamise kulu</t>
  </si>
  <si>
    <t>3.</t>
  </si>
  <si>
    <t>Tulud kokku</t>
  </si>
  <si>
    <t>pp.kk.20aa</t>
  </si>
  <si>
    <r>
      <t>3. Täita ära "</t>
    </r>
    <r>
      <rPr>
        <b/>
        <i/>
        <sz val="10"/>
        <color indexed="12"/>
        <rFont val="Arial"/>
        <family val="2"/>
        <charset val="186"/>
      </rPr>
      <t>Bilanss</t>
    </r>
    <r>
      <rPr>
        <sz val="10"/>
        <rFont val="Arial"/>
        <family val="2"/>
        <charset val="186"/>
      </rPr>
      <t>" lehel eelmise tegevusperioodi veerg (B) kui majandustegevus on toimunud enne 2021 aastat, 2021.a.  andmed palun täita  vastavalt jooksvale  majandustegevusele;</t>
    </r>
  </si>
  <si>
    <t>2021. a prognoos</t>
  </si>
  <si>
    <t>2022. a prognoos</t>
  </si>
  <si>
    <t>2023. a prognoos</t>
  </si>
  <si>
    <t>2024. a prognoos</t>
  </si>
  <si>
    <r>
      <t>4. Täita ära "</t>
    </r>
    <r>
      <rPr>
        <b/>
        <i/>
        <sz val="10"/>
        <color indexed="12"/>
        <rFont val="Arial"/>
        <family val="2"/>
        <charset val="186"/>
      </rPr>
      <t>Kassavood</t>
    </r>
    <r>
      <rPr>
        <sz val="10"/>
        <rFont val="Arial"/>
        <family val="2"/>
        <charset val="186"/>
      </rPr>
      <t xml:space="preserve">" lehel tühjad lahtrid! Siin esitada andmed </t>
    </r>
    <r>
      <rPr>
        <b/>
        <i/>
        <sz val="10"/>
        <color indexed="12"/>
        <rFont val="Arial"/>
        <family val="2"/>
        <charset val="186"/>
      </rPr>
      <t xml:space="preserve">projekti esimese majandusaasta </t>
    </r>
    <r>
      <rPr>
        <sz val="10"/>
        <rFont val="Arial"/>
        <family val="2"/>
        <charset val="186"/>
      </rPr>
      <t xml:space="preserve">kohta. </t>
    </r>
    <r>
      <rPr>
        <b/>
        <i/>
        <sz val="10"/>
        <color indexed="12"/>
        <rFont val="Arial"/>
        <family val="2"/>
        <charset val="186"/>
      </rPr>
      <t>Kuude nimetusi</t>
    </r>
    <r>
      <rPr>
        <sz val="10"/>
        <rFont val="Arial"/>
        <family val="2"/>
        <charset val="186"/>
      </rPr>
      <t xml:space="preserve"> ja</t>
    </r>
    <r>
      <rPr>
        <sz val="10"/>
        <color indexed="62"/>
        <rFont val="Arial"/>
        <family val="2"/>
        <charset val="186"/>
      </rPr>
      <t xml:space="preserve"> aastaid </t>
    </r>
    <r>
      <rPr>
        <b/>
        <i/>
        <sz val="10"/>
        <color indexed="12"/>
        <rFont val="Arial"/>
        <family val="2"/>
        <charset val="186"/>
      </rPr>
      <t>muuta ei saa</t>
    </r>
    <r>
      <rPr>
        <sz val="10"/>
        <color indexed="12"/>
        <rFont val="Arial"/>
        <family val="2"/>
        <charset val="186"/>
      </rPr>
      <t>.</t>
    </r>
    <r>
      <rPr>
        <sz val="10"/>
        <rFont val="Arial"/>
        <family val="2"/>
        <charset val="186"/>
      </rPr>
      <t xml:space="preserve"> Kui teie projekt algab (tegevused toimuvad) näiteks alates 2020.a. oktoober, siis esitage nii 2020. a detailsem prognoosi fail kui ka 2021. a prognoosi fail. Kui tegevus algab 2021. a alguses, siis täita ja esitada 2021. a prognoosi fail. Lisage palun selle kohta selgitus äriplaani. Kui Teie projekt algab  näiteks  2021.a. veebruar, siis  alustage prognooside täitmist alates veebruar 2021.a.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</si>
</sst>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k_r_-;\-* #,##0.00\ _k_r_-;_-* &quot;-&quot;??\ _k_r_-;_-@_-"/>
    <numFmt numFmtId="165" formatCode="mmm/yyyy"/>
    <numFmt numFmtId="166" formatCode="#,##0\ &quot;kr&quot;"/>
    <numFmt numFmtId="167" formatCode="&quot;Kokku &quot;\&amp;\A\2"/>
    <numFmt numFmtId="168" formatCode="mmmm"/>
    <numFmt numFmtId="169" formatCode="dd\.mm\.yy;@"/>
    <numFmt numFmtId="170" formatCode="0.0"/>
  </numFmts>
  <fonts count="74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10"/>
      <color indexed="12"/>
      <name val="Arial"/>
      <family val="2"/>
    </font>
    <font>
      <i/>
      <sz val="8"/>
      <color indexed="19"/>
      <name val="Arial"/>
      <family val="2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b/>
      <u/>
      <sz val="10"/>
      <name val="Arial"/>
      <family val="2"/>
      <charset val="186"/>
    </font>
    <font>
      <sz val="8"/>
      <color indexed="9"/>
      <name val="Arial"/>
      <family val="2"/>
    </font>
    <font>
      <i/>
      <sz val="8"/>
      <color indexed="10"/>
      <name val="Arial"/>
      <family val="2"/>
    </font>
    <font>
      <b/>
      <i/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61"/>
      <name val="Arial"/>
      <family val="2"/>
    </font>
    <font>
      <b/>
      <i/>
      <sz val="8"/>
      <color indexed="60"/>
      <name val="Arial"/>
      <family val="2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b/>
      <i/>
      <sz val="10"/>
      <color indexed="12"/>
      <name val="Arial"/>
      <family val="2"/>
      <charset val="186"/>
    </font>
    <font>
      <sz val="10"/>
      <color indexed="12"/>
      <name val="Arial"/>
      <family val="2"/>
      <charset val="186"/>
    </font>
    <font>
      <i/>
      <sz val="10"/>
      <color indexed="12"/>
      <name val="Arial"/>
      <family val="2"/>
      <charset val="186"/>
    </font>
    <font>
      <sz val="8"/>
      <color indexed="12"/>
      <name val="Arial"/>
      <family val="2"/>
    </font>
    <font>
      <i/>
      <sz val="8"/>
      <color indexed="12"/>
      <name val="Arial"/>
      <family val="2"/>
    </font>
    <font>
      <b/>
      <i/>
      <sz val="12"/>
      <color indexed="10"/>
      <name val="Arial"/>
      <family val="2"/>
      <charset val="186"/>
    </font>
    <font>
      <i/>
      <sz val="8"/>
      <color indexed="45"/>
      <name val="Arial"/>
      <family val="2"/>
    </font>
    <font>
      <i/>
      <sz val="8"/>
      <name val="Arial"/>
      <family val="2"/>
      <charset val="186"/>
    </font>
    <font>
      <b/>
      <i/>
      <sz val="8"/>
      <color indexed="12"/>
      <name val="Arial"/>
      <family val="2"/>
      <charset val="186"/>
    </font>
    <font>
      <sz val="8"/>
      <color indexed="81"/>
      <name val="Tahoma"/>
      <family val="2"/>
      <charset val="186"/>
    </font>
    <font>
      <b/>
      <i/>
      <sz val="8"/>
      <color indexed="9"/>
      <name val="Arial"/>
      <family val="2"/>
    </font>
    <font>
      <sz val="8"/>
      <color indexed="10"/>
      <name val="Arial"/>
      <family val="2"/>
      <charset val="186"/>
    </font>
    <font>
      <sz val="8"/>
      <color indexed="9"/>
      <name val="Arial"/>
      <family val="2"/>
      <charset val="186"/>
    </font>
    <font>
      <b/>
      <sz val="8"/>
      <color indexed="12"/>
      <name val="Arial"/>
      <family val="2"/>
      <charset val="186"/>
    </font>
    <font>
      <sz val="9"/>
      <name val="Arial"/>
      <family val="2"/>
      <charset val="186"/>
    </font>
    <font>
      <sz val="8"/>
      <color indexed="60"/>
      <name val="Arial"/>
      <family val="2"/>
      <charset val="186"/>
    </font>
    <font>
      <b/>
      <sz val="8"/>
      <color indexed="10"/>
      <name val="Arial"/>
      <family val="2"/>
      <charset val="186"/>
    </font>
    <font>
      <b/>
      <sz val="8"/>
      <color indexed="12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color indexed="62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b/>
      <sz val="14"/>
      <name val="Arial"/>
      <family val="2"/>
      <charset val="186"/>
    </font>
    <font>
      <sz val="14"/>
      <color indexed="10"/>
      <name val="Tahoma"/>
      <family val="2"/>
      <charset val="186"/>
    </font>
    <font>
      <b/>
      <i/>
      <sz val="8"/>
      <color theme="4" tint="-0.499984740745262"/>
      <name val="Arial"/>
      <family val="2"/>
      <charset val="186"/>
    </font>
    <font>
      <b/>
      <sz val="8"/>
      <color rgb="FF6600FF"/>
      <name val="Arial"/>
      <family val="2"/>
    </font>
    <font>
      <b/>
      <i/>
      <sz val="8"/>
      <color rgb="FF002060"/>
      <name val="Arial"/>
      <family val="2"/>
      <charset val="186"/>
    </font>
    <font>
      <b/>
      <sz val="8"/>
      <color rgb="FFFF0000"/>
      <name val="Arial"/>
      <family val="2"/>
    </font>
    <font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0"/>
      <color theme="0" tint="-0.34998626667073579"/>
      <name val="Arial"/>
      <family val="2"/>
    </font>
    <font>
      <b/>
      <sz val="10"/>
      <color rgb="FFFF0000"/>
      <name val="Arial"/>
      <family val="2"/>
      <charset val="186"/>
    </font>
    <font>
      <sz val="8"/>
      <color indexed="81"/>
      <name val="Segoe UI"/>
      <family val="2"/>
      <charset val="186"/>
    </font>
    <font>
      <i/>
      <sz val="8"/>
      <color indexed="12"/>
      <name val="Arial"/>
      <family val="2"/>
      <charset val="186"/>
    </font>
    <font>
      <sz val="8"/>
      <color theme="0" tint="-0.34998626667073579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u/>
      <sz val="9"/>
      <color indexed="81"/>
      <name val="Tahoma"/>
      <family val="2"/>
      <charset val="186"/>
    </font>
    <font>
      <i/>
      <sz val="9"/>
      <color indexed="81"/>
      <name val="Tahoma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0"/>
      </right>
      <top style="thin">
        <color indexed="64"/>
      </top>
      <bottom style="thick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ck">
        <color indexed="60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3" fillId="0" borderId="0"/>
    <xf numFmtId="9" fontId="1" fillId="0" borderId="0" applyFont="0" applyFill="0" applyBorder="0" applyAlignment="0" applyProtection="0"/>
  </cellStyleXfs>
  <cellXfs count="421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2" borderId="0" xfId="0" applyFill="1" applyAlignment="1" applyProtection="1">
      <alignment horizontal="center"/>
      <protection locked="0"/>
    </xf>
    <xf numFmtId="0" fontId="27" fillId="0" borderId="0" xfId="0" applyFont="1" applyProtection="1"/>
    <xf numFmtId="1" fontId="0" fillId="2" borderId="0" xfId="0" applyNumberFormat="1" applyFill="1" applyAlignment="1" applyProtection="1">
      <alignment horizontal="center"/>
      <protection locked="0"/>
    </xf>
    <xf numFmtId="0" fontId="0" fillId="0" borderId="0" xfId="0" applyFill="1" applyProtection="1"/>
    <xf numFmtId="1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166" fontId="0" fillId="0" borderId="0" xfId="0" applyNumberFormat="1" applyAlignment="1" applyProtection="1">
      <alignment horizontal="center"/>
    </xf>
    <xf numFmtId="166" fontId="0" fillId="0" borderId="0" xfId="0" applyNumberFormat="1" applyProtection="1"/>
    <xf numFmtId="0" fontId="2" fillId="0" borderId="1" xfId="0" applyFont="1" applyBorder="1" applyAlignment="1">
      <alignment wrapText="1"/>
    </xf>
    <xf numFmtId="165" fontId="2" fillId="0" borderId="1" xfId="0" applyNumberFormat="1" applyFont="1" applyBorder="1"/>
    <xf numFmtId="1" fontId="2" fillId="0" borderId="1" xfId="0" applyNumberFormat="1" applyFont="1" applyBorder="1" applyProtection="1"/>
    <xf numFmtId="1" fontId="2" fillId="0" borderId="1" xfId="0" applyNumberFormat="1" applyFont="1" applyBorder="1"/>
    <xf numFmtId="0" fontId="2" fillId="0" borderId="0" xfId="0" applyFont="1" applyBorder="1"/>
    <xf numFmtId="0" fontId="34" fillId="0" borderId="0" xfId="0" applyFont="1" applyBorder="1"/>
    <xf numFmtId="165" fontId="34" fillId="0" borderId="0" xfId="0" applyNumberFormat="1" applyFont="1" applyBorder="1"/>
    <xf numFmtId="1" fontId="34" fillId="0" borderId="0" xfId="0" applyNumberFormat="1" applyFont="1" applyBorder="1"/>
    <xf numFmtId="0" fontId="2" fillId="0" borderId="0" xfId="0" applyFo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Protection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3" fontId="2" fillId="3" borderId="2" xfId="0" applyNumberFormat="1" applyFont="1" applyFill="1" applyBorder="1"/>
    <xf numFmtId="3" fontId="2" fillId="3" borderId="2" xfId="0" applyNumberFormat="1" applyFont="1" applyFill="1" applyBorder="1" applyProtection="1"/>
    <xf numFmtId="0" fontId="2" fillId="0" borderId="3" xfId="0" applyFont="1" applyFill="1" applyBorder="1" applyAlignment="1">
      <alignment wrapText="1"/>
    </xf>
    <xf numFmtId="0" fontId="2" fillId="0" borderId="0" xfId="0" applyFont="1" applyFill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9" fontId="35" fillId="0" borderId="4" xfId="0" applyNumberFormat="1" applyFont="1" applyFill="1" applyBorder="1" applyAlignment="1" applyProtection="1">
      <alignment horizontal="center"/>
      <protection locked="0"/>
    </xf>
    <xf numFmtId="167" fontId="2" fillId="2" borderId="4" xfId="0" applyNumberFormat="1" applyFont="1" applyFill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9" fontId="35" fillId="4" borderId="4" xfId="0" applyNumberFormat="1" applyFont="1" applyFill="1" applyBorder="1" applyAlignment="1" applyProtection="1">
      <alignment horizontal="center"/>
      <protection locked="0"/>
    </xf>
    <xf numFmtId="9" fontId="35" fillId="0" borderId="4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2" fillId="0" borderId="0" xfId="0" applyFont="1" applyProtection="1"/>
    <xf numFmtId="0" fontId="37" fillId="5" borderId="1" xfId="0" applyFont="1" applyFill="1" applyBorder="1" applyAlignment="1">
      <alignment wrapText="1"/>
    </xf>
    <xf numFmtId="3" fontId="37" fillId="5" borderId="1" xfId="0" applyNumberFormat="1" applyFont="1" applyFill="1" applyBorder="1"/>
    <xf numFmtId="3" fontId="37" fillId="5" borderId="2" xfId="0" applyNumberFormat="1" applyFont="1" applyFill="1" applyBorder="1"/>
    <xf numFmtId="3" fontId="37" fillId="5" borderId="3" xfId="0" applyNumberFormat="1" applyFont="1" applyFill="1" applyBorder="1"/>
    <xf numFmtId="9" fontId="37" fillId="5" borderId="1" xfId="0" applyNumberFormat="1" applyFont="1" applyFill="1" applyBorder="1"/>
    <xf numFmtId="3" fontId="37" fillId="5" borderId="4" xfId="0" applyNumberFormat="1" applyFont="1" applyFill="1" applyBorder="1"/>
    <xf numFmtId="0" fontId="37" fillId="0" borderId="0" xfId="0" applyFont="1" applyFill="1"/>
    <xf numFmtId="168" fontId="0" fillId="0" borderId="0" xfId="0" applyNumberFormat="1"/>
    <xf numFmtId="0" fontId="11" fillId="0" borderId="0" xfId="0" applyFont="1" applyFill="1" applyProtection="1"/>
    <xf numFmtId="4" fontId="2" fillId="0" borderId="3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2" fillId="0" borderId="1" xfId="0" applyNumberFormat="1" applyFont="1" applyFill="1" applyBorder="1" applyProtection="1"/>
    <xf numFmtId="4" fontId="2" fillId="0" borderId="5" xfId="0" applyNumberFormat="1" applyFont="1" applyFill="1" applyBorder="1" applyProtection="1">
      <protection locked="0"/>
    </xf>
    <xf numFmtId="4" fontId="2" fillId="2" borderId="4" xfId="0" applyNumberFormat="1" applyFont="1" applyFill="1" applyBorder="1"/>
    <xf numFmtId="4" fontId="2" fillId="2" borderId="4" xfId="0" applyNumberFormat="1" applyFont="1" applyFill="1" applyBorder="1" applyProtection="1"/>
    <xf numFmtId="4" fontId="2" fillId="2" borderId="6" xfId="0" applyNumberFormat="1" applyFont="1" applyFill="1" applyBorder="1"/>
    <xf numFmtId="4" fontId="2" fillId="0" borderId="1" xfId="0" applyNumberFormat="1" applyFont="1" applyBorder="1" applyProtection="1">
      <protection locked="0"/>
    </xf>
    <xf numFmtId="4" fontId="2" fillId="0" borderId="1" xfId="0" applyNumberFormat="1" applyFont="1" applyBorder="1" applyProtection="1"/>
    <xf numFmtId="4" fontId="2" fillId="0" borderId="5" xfId="0" applyNumberFormat="1" applyFont="1" applyBorder="1" applyProtection="1">
      <protection locked="0"/>
    </xf>
    <xf numFmtId="4" fontId="4" fillId="6" borderId="0" xfId="0" applyNumberFormat="1" applyFont="1" applyFill="1" applyBorder="1" applyAlignment="1" applyProtection="1">
      <alignment horizontal="right"/>
    </xf>
    <xf numFmtId="4" fontId="4" fillId="6" borderId="0" xfId="0" applyNumberFormat="1" applyFont="1" applyFill="1"/>
    <xf numFmtId="4" fontId="15" fillId="6" borderId="0" xfId="0" applyNumberFormat="1" applyFont="1" applyFill="1" applyAlignment="1" applyProtection="1">
      <alignment horizontal="left" wrapText="1"/>
    </xf>
    <xf numFmtId="4" fontId="28" fillId="6" borderId="0" xfId="0" applyNumberFormat="1" applyFont="1" applyFill="1" applyAlignment="1" applyProtection="1">
      <alignment horizontal="right"/>
    </xf>
    <xf numFmtId="4" fontId="28" fillId="6" borderId="0" xfId="0" applyNumberFormat="1" applyFont="1" applyFill="1" applyBorder="1" applyAlignment="1" applyProtection="1">
      <alignment horizontal="right"/>
    </xf>
    <xf numFmtId="4" fontId="28" fillId="6" borderId="0" xfId="0" applyNumberFormat="1" applyFont="1" applyFill="1"/>
    <xf numFmtId="4" fontId="30" fillId="0" borderId="1" xfId="0" applyNumberFormat="1" applyFont="1" applyBorder="1" applyAlignment="1" applyProtection="1">
      <alignment horizontal="right"/>
    </xf>
    <xf numFmtId="4" fontId="16" fillId="0" borderId="1" xfId="1" applyNumberFormat="1" applyFont="1" applyFill="1" applyBorder="1" applyAlignment="1" applyProtection="1">
      <alignment horizontal="right"/>
      <protection hidden="1"/>
    </xf>
    <xf numFmtId="4" fontId="16" fillId="0" borderId="1" xfId="0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/>
    <xf numFmtId="4" fontId="6" fillId="6" borderId="0" xfId="0" applyNumberFormat="1" applyFont="1" applyFill="1" applyBorder="1" applyProtection="1"/>
    <xf numFmtId="4" fontId="4" fillId="0" borderId="0" xfId="0" applyNumberFormat="1" applyFont="1" applyBorder="1" applyAlignment="1" applyProtection="1">
      <alignment horizontal="right"/>
    </xf>
    <xf numFmtId="4" fontId="4" fillId="6" borderId="0" xfId="1" applyNumberFormat="1" applyFont="1" applyFill="1" applyBorder="1" applyAlignment="1" applyProtection="1">
      <alignment horizontal="right"/>
    </xf>
    <xf numFmtId="4" fontId="14" fillId="6" borderId="0" xfId="0" applyNumberFormat="1" applyFont="1" applyFill="1" applyBorder="1" applyProtection="1"/>
    <xf numFmtId="4" fontId="14" fillId="6" borderId="0" xfId="0" applyNumberFormat="1" applyFont="1" applyFill="1" applyBorder="1" applyAlignment="1" applyProtection="1">
      <alignment horizontal="right"/>
    </xf>
    <xf numFmtId="4" fontId="14" fillId="6" borderId="0" xfId="0" applyNumberFormat="1" applyFont="1" applyFill="1" applyBorder="1"/>
    <xf numFmtId="4" fontId="4" fillId="6" borderId="1" xfId="0" applyNumberFormat="1" applyFont="1" applyFill="1" applyBorder="1" applyAlignment="1" applyProtection="1">
      <alignment horizontal="left" indent="3"/>
    </xf>
    <xf numFmtId="4" fontId="16" fillId="6" borderId="2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>
      <alignment horizontal="left" indent="1"/>
    </xf>
    <xf numFmtId="4" fontId="29" fillId="6" borderId="7" xfId="0" applyNumberFormat="1" applyFont="1" applyFill="1" applyBorder="1" applyAlignment="1" applyProtection="1">
      <alignment horizontal="left" indent="6"/>
    </xf>
    <xf numFmtId="4" fontId="4" fillId="6" borderId="7" xfId="0" applyNumberFormat="1" applyFont="1" applyFill="1" applyBorder="1" applyAlignment="1" applyProtection="1">
      <alignment horizontal="left" indent="8"/>
    </xf>
    <xf numFmtId="4" fontId="30" fillId="6" borderId="1" xfId="1" applyNumberFormat="1" applyFont="1" applyFill="1" applyBorder="1" applyAlignment="1" applyProtection="1">
      <alignment horizontal="right"/>
      <protection hidden="1"/>
    </xf>
    <xf numFmtId="4" fontId="10" fillId="6" borderId="0" xfId="0" applyNumberFormat="1" applyFont="1" applyFill="1" applyBorder="1" applyAlignment="1" applyProtection="1">
      <alignment horizontal="left" indent="8"/>
    </xf>
    <xf numFmtId="4" fontId="10" fillId="6" borderId="0" xfId="1" applyNumberFormat="1" applyFont="1" applyFill="1" applyBorder="1" applyAlignment="1" applyProtection="1">
      <alignment horizontal="right"/>
    </xf>
    <xf numFmtId="4" fontId="10" fillId="6" borderId="0" xfId="0" applyNumberFormat="1" applyFont="1" applyFill="1" applyBorder="1" applyAlignment="1">
      <alignment horizontal="left" indent="1"/>
    </xf>
    <xf numFmtId="4" fontId="18" fillId="6" borderId="0" xfId="0" applyNumberFormat="1" applyFont="1" applyFill="1" applyBorder="1" applyProtection="1"/>
    <xf numFmtId="4" fontId="16" fillId="6" borderId="1" xfId="1" applyNumberFormat="1" applyFont="1" applyFill="1" applyBorder="1" applyAlignment="1" applyProtection="1">
      <alignment horizontal="right"/>
      <protection hidden="1"/>
    </xf>
    <xf numFmtId="4" fontId="29" fillId="6" borderId="1" xfId="0" applyNumberFormat="1" applyFont="1" applyFill="1" applyBorder="1" applyAlignment="1" applyProtection="1">
      <alignment horizontal="left" indent="6"/>
    </xf>
    <xf numFmtId="4" fontId="4" fillId="6" borderId="1" xfId="1" applyNumberFormat="1" applyFont="1" applyFill="1" applyBorder="1" applyAlignment="1" applyProtection="1">
      <alignment horizontal="right"/>
      <protection locked="0"/>
    </xf>
    <xf numFmtId="4" fontId="19" fillId="6" borderId="1" xfId="0" applyNumberFormat="1" applyFont="1" applyFill="1" applyBorder="1" applyAlignment="1" applyProtection="1">
      <alignment horizontal="left" indent="2"/>
    </xf>
    <xf numFmtId="4" fontId="4" fillId="0" borderId="1" xfId="0" applyNumberFormat="1" applyFont="1" applyBorder="1" applyAlignment="1" applyProtection="1">
      <alignment horizontal="right"/>
      <protection locked="0"/>
    </xf>
    <xf numFmtId="4" fontId="4" fillId="6" borderId="1" xfId="0" applyNumberFormat="1" applyFont="1" applyFill="1" applyBorder="1" applyAlignment="1" applyProtection="1">
      <alignment horizontal="left" wrapText="1" indent="3"/>
    </xf>
    <xf numFmtId="4" fontId="6" fillId="6" borderId="1" xfId="0" applyNumberFormat="1" applyFont="1" applyFill="1" applyBorder="1" applyAlignment="1" applyProtection="1">
      <alignment horizontal="left" indent="3"/>
    </xf>
    <xf numFmtId="4" fontId="6" fillId="6" borderId="0" xfId="0" applyNumberFormat="1" applyFont="1" applyFill="1" applyBorder="1" applyAlignment="1">
      <alignment horizontal="left" indent="1"/>
    </xf>
    <xf numFmtId="4" fontId="6" fillId="6" borderId="0" xfId="0" applyNumberFormat="1" applyFont="1" applyFill="1" applyBorder="1" applyAlignment="1" applyProtection="1">
      <alignment horizontal="left" indent="2"/>
    </xf>
    <xf numFmtId="4" fontId="6" fillId="6" borderId="0" xfId="1" applyNumberFormat="1" applyFont="1" applyFill="1" applyBorder="1" applyAlignment="1" applyProtection="1">
      <alignment horizontal="right"/>
    </xf>
    <xf numFmtId="4" fontId="6" fillId="6" borderId="0" xfId="0" applyNumberFormat="1" applyFont="1" applyFill="1"/>
    <xf numFmtId="4" fontId="17" fillId="6" borderId="0" xfId="0" applyNumberFormat="1" applyFont="1" applyFill="1" applyBorder="1" applyProtection="1"/>
    <xf numFmtId="4" fontId="2" fillId="6" borderId="1" xfId="0" applyNumberFormat="1" applyFont="1" applyFill="1" applyBorder="1" applyAlignment="1" applyProtection="1">
      <alignment horizontal="left" wrapText="1" indent="3"/>
    </xf>
    <xf numFmtId="4" fontId="41" fillId="6" borderId="0" xfId="0" applyNumberFormat="1" applyFont="1" applyFill="1" applyBorder="1" applyAlignment="1" applyProtection="1">
      <alignment horizontal="left" wrapText="1"/>
    </xf>
    <xf numFmtId="4" fontId="4" fillId="6" borderId="0" xfId="1" applyNumberFormat="1" applyFont="1" applyFill="1" applyBorder="1" applyAlignment="1" applyProtection="1">
      <alignment horizontal="right"/>
      <protection locked="0"/>
    </xf>
    <xf numFmtId="4" fontId="59" fillId="6" borderId="1" xfId="1" applyNumberFormat="1" applyFont="1" applyFill="1" applyBorder="1" applyAlignment="1" applyProtection="1">
      <alignment horizontal="right"/>
    </xf>
    <xf numFmtId="4" fontId="4" fillId="6" borderId="0" xfId="0" applyNumberFormat="1" applyFont="1" applyFill="1" applyBorder="1" applyAlignment="1" applyProtection="1">
      <alignment horizontal="left" indent="2"/>
    </xf>
    <xf numFmtId="4" fontId="17" fillId="6" borderId="0" xfId="0" applyNumberFormat="1" applyFont="1" applyFill="1" applyBorder="1" applyAlignment="1" applyProtection="1">
      <alignment horizontal="left"/>
    </xf>
    <xf numFmtId="4" fontId="16" fillId="6" borderId="8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 applyProtection="1">
      <alignment horizontal="left" indent="3"/>
    </xf>
    <xf numFmtId="4" fontId="6" fillId="6" borderId="0" xfId="0" applyNumberFormat="1" applyFont="1" applyFill="1" applyBorder="1" applyAlignment="1" applyProtection="1">
      <alignment horizontal="left"/>
    </xf>
    <xf numFmtId="4" fontId="60" fillId="6" borderId="0" xfId="0" applyNumberFormat="1" applyFont="1" applyFill="1" applyBorder="1" applyAlignment="1" applyProtection="1">
      <alignment horizontal="left" indent="1"/>
      <protection locked="0"/>
    </xf>
    <xf numFmtId="4" fontId="61" fillId="6" borderId="1" xfId="1" applyNumberFormat="1" applyFont="1" applyFill="1" applyBorder="1" applyAlignment="1" applyProtection="1">
      <alignment horizontal="right"/>
    </xf>
    <xf numFmtId="4" fontId="6" fillId="6" borderId="0" xfId="0" applyNumberFormat="1" applyFont="1" applyFill="1" applyBorder="1" applyAlignment="1" applyProtection="1">
      <alignment horizontal="left" indent="1"/>
    </xf>
    <xf numFmtId="4" fontId="4" fillId="0" borderId="1" xfId="0" applyNumberFormat="1" applyFont="1" applyFill="1" applyBorder="1" applyAlignment="1" applyProtection="1">
      <alignment horizontal="left" indent="3"/>
    </xf>
    <xf numFmtId="4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Fill="1"/>
    <xf numFmtId="4" fontId="4" fillId="6" borderId="1" xfId="1" applyNumberFormat="1" applyFont="1" applyFill="1" applyBorder="1" applyAlignment="1" applyProtection="1">
      <alignment horizontal="right"/>
    </xf>
    <xf numFmtId="4" fontId="17" fillId="0" borderId="0" xfId="0" applyNumberFormat="1" applyFont="1" applyFill="1" applyBorder="1" applyAlignment="1" applyProtection="1">
      <alignment horizontal="left"/>
    </xf>
    <xf numFmtId="4" fontId="4" fillId="6" borderId="0" xfId="0" applyNumberFormat="1" applyFont="1" applyFill="1" applyAlignment="1" applyProtection="1">
      <alignment horizontal="right"/>
    </xf>
    <xf numFmtId="4" fontId="4" fillId="6" borderId="0" xfId="0" applyNumberFormat="1" applyFont="1" applyFill="1" applyAlignment="1" applyProtection="1">
      <alignment horizontal="right"/>
      <protection locked="0"/>
    </xf>
    <xf numFmtId="4" fontId="4" fillId="0" borderId="9" xfId="0" applyNumberFormat="1" applyFont="1" applyFill="1" applyBorder="1" applyProtection="1">
      <protection locked="0"/>
    </xf>
    <xf numFmtId="4" fontId="6" fillId="6" borderId="1" xfId="0" applyNumberFormat="1" applyFont="1" applyFill="1" applyBorder="1" applyAlignment="1" applyProtection="1">
      <alignment horizontal="left"/>
    </xf>
    <xf numFmtId="4" fontId="6" fillId="6" borderId="0" xfId="0" applyNumberFormat="1" applyFont="1" applyFill="1" applyBorder="1"/>
    <xf numFmtId="4" fontId="30" fillId="6" borderId="0" xfId="1" applyNumberFormat="1" applyFont="1" applyFill="1" applyBorder="1" applyAlignment="1" applyProtection="1">
      <alignment horizontal="right"/>
      <protection hidden="1"/>
    </xf>
    <xf numFmtId="4" fontId="4" fillId="6" borderId="0" xfId="0" applyNumberFormat="1" applyFont="1" applyFill="1" applyBorder="1" applyAlignment="1">
      <alignment horizontal="right"/>
    </xf>
    <xf numFmtId="4" fontId="14" fillId="6" borderId="0" xfId="0" applyNumberFormat="1" applyFont="1" applyFill="1" applyBorder="1" applyAlignment="1" applyProtection="1">
      <alignment horizontal="right"/>
      <protection hidden="1"/>
    </xf>
    <xf numFmtId="4" fontId="33" fillId="6" borderId="0" xfId="0" applyNumberFormat="1" applyFont="1" applyFill="1" applyBorder="1" applyAlignment="1">
      <alignment horizontal="left"/>
    </xf>
    <xf numFmtId="4" fontId="4" fillId="6" borderId="0" xfId="0" applyNumberFormat="1" applyFont="1" applyFill="1" applyBorder="1" applyAlignment="1">
      <alignment horizontal="left"/>
    </xf>
    <xf numFmtId="4" fontId="4" fillId="6" borderId="0" xfId="0" applyNumberFormat="1" applyFont="1" applyFill="1" applyAlignment="1">
      <alignment horizontal="right"/>
    </xf>
    <xf numFmtId="4" fontId="4" fillId="6" borderId="0" xfId="0" applyNumberFormat="1" applyFont="1" applyFill="1" applyProtection="1">
      <protection hidden="1"/>
    </xf>
    <xf numFmtId="4" fontId="4" fillId="6" borderId="0" xfId="0" applyNumberFormat="1" applyFont="1" applyFill="1" applyAlignment="1" applyProtection="1">
      <alignment horizontal="right"/>
      <protection hidden="1"/>
    </xf>
    <xf numFmtId="4" fontId="5" fillId="6" borderId="0" xfId="0" applyNumberFormat="1" applyFont="1" applyFill="1" applyAlignment="1" applyProtection="1">
      <alignment horizontal="left"/>
    </xf>
    <xf numFmtId="4" fontId="0" fillId="0" borderId="0" xfId="0" applyNumberFormat="1"/>
    <xf numFmtId="4" fontId="9" fillId="6" borderId="0" xfId="0" applyNumberFormat="1" applyFont="1" applyFill="1" applyBorder="1" applyProtection="1"/>
    <xf numFmtId="4" fontId="3" fillId="6" borderId="1" xfId="0" applyNumberFormat="1" applyFont="1" applyFill="1" applyBorder="1" applyAlignment="1" applyProtection="1">
      <alignment horizontal="left" indent="3"/>
    </xf>
    <xf numFmtId="4" fontId="24" fillId="6" borderId="1" xfId="0" applyNumberFormat="1" applyFont="1" applyFill="1" applyBorder="1" applyAlignment="1" applyProtection="1">
      <alignment horizontal="left" indent="6"/>
    </xf>
    <xf numFmtId="4" fontId="24" fillId="6" borderId="1" xfId="0" applyNumberFormat="1" applyFont="1" applyFill="1" applyBorder="1" applyAlignment="1" applyProtection="1">
      <alignment horizontal="left" indent="8"/>
    </xf>
    <xf numFmtId="4" fontId="5" fillId="6" borderId="1" xfId="0" applyNumberFormat="1" applyFont="1" applyFill="1" applyBorder="1" applyAlignment="1" applyProtection="1">
      <alignment horizontal="left" indent="3"/>
    </xf>
    <xf numFmtId="4" fontId="5" fillId="6" borderId="0" xfId="0" applyNumberFormat="1" applyFont="1" applyFill="1" applyBorder="1" applyAlignment="1" applyProtection="1">
      <alignment horizontal="left" indent="3"/>
    </xf>
    <xf numFmtId="4" fontId="36" fillId="6" borderId="0" xfId="0" applyNumberFormat="1" applyFont="1" applyFill="1" applyBorder="1" applyAlignment="1" applyProtection="1">
      <alignment horizontal="left" indent="3"/>
    </xf>
    <xf numFmtId="4" fontId="8" fillId="6" borderId="0" xfId="0" applyNumberFormat="1" applyFont="1" applyFill="1" applyBorder="1" applyAlignment="1" applyProtection="1">
      <alignment horizontal="left"/>
    </xf>
    <xf numFmtId="4" fontId="7" fillId="6" borderId="0" xfId="0" applyNumberFormat="1" applyFont="1" applyFill="1" applyBorder="1" applyProtection="1"/>
    <xf numFmtId="4" fontId="3" fillId="6" borderId="7" xfId="0" applyNumberFormat="1" applyFont="1" applyFill="1" applyBorder="1" applyAlignment="1" applyProtection="1">
      <alignment horizontal="left" indent="3"/>
    </xf>
    <xf numFmtId="4" fontId="3" fillId="6" borderId="0" xfId="0" applyNumberFormat="1" applyFont="1" applyFill="1" applyBorder="1" applyAlignment="1" applyProtection="1">
      <alignment horizontal="left" indent="2"/>
    </xf>
    <xf numFmtId="4" fontId="7" fillId="6" borderId="0" xfId="0" applyNumberFormat="1" applyFont="1" applyFill="1" applyBorder="1" applyAlignment="1" applyProtection="1">
      <alignment horizontal="left"/>
    </xf>
    <xf numFmtId="4" fontId="7" fillId="6" borderId="0" xfId="0" applyNumberFormat="1" applyFont="1" applyFill="1" applyBorder="1" applyAlignment="1" applyProtection="1">
      <alignment horizontal="left" indent="1"/>
    </xf>
    <xf numFmtId="4" fontId="3" fillId="0" borderId="1" xfId="0" applyNumberFormat="1" applyFont="1" applyFill="1" applyBorder="1" applyAlignment="1" applyProtection="1">
      <alignment horizontal="left" indent="3"/>
    </xf>
    <xf numFmtId="4" fontId="7" fillId="6" borderId="1" xfId="0" applyNumberFormat="1" applyFont="1" applyFill="1" applyBorder="1" applyAlignment="1" applyProtection="1">
      <alignment horizontal="left" indent="2"/>
    </xf>
    <xf numFmtId="4" fontId="5" fillId="6" borderId="1" xfId="0" applyNumberFormat="1" applyFont="1" applyFill="1" applyBorder="1" applyAlignment="1" applyProtection="1">
      <alignment horizontal="left"/>
    </xf>
    <xf numFmtId="4" fontId="11" fillId="6" borderId="0" xfId="0" applyNumberFormat="1" applyFont="1" applyFill="1" applyBorder="1" applyAlignment="1" applyProtection="1">
      <alignment horizontal="left"/>
    </xf>
    <xf numFmtId="4" fontId="5" fillId="6" borderId="0" xfId="0" applyNumberFormat="1" applyFont="1" applyFill="1" applyBorder="1" applyAlignment="1" applyProtection="1">
      <alignment horizontal="left"/>
    </xf>
    <xf numFmtId="4" fontId="11" fillId="6" borderId="1" xfId="0" applyNumberFormat="1" applyFont="1" applyFill="1" applyBorder="1" applyAlignment="1" applyProtection="1">
      <alignment horizontal="left" indent="3"/>
    </xf>
    <xf numFmtId="4" fontId="40" fillId="6" borderId="0" xfId="0" applyNumberFormat="1" applyFont="1" applyFill="1" applyBorder="1" applyAlignment="1" applyProtection="1">
      <alignment horizontal="right"/>
    </xf>
    <xf numFmtId="4" fontId="3" fillId="6" borderId="0" xfId="0" applyNumberFormat="1" applyFont="1" applyFill="1"/>
    <xf numFmtId="4" fontId="7" fillId="0" borderId="0" xfId="0" applyNumberFormat="1" applyFont="1" applyBorder="1" applyAlignment="1">
      <alignment horizontal="left" indent="1"/>
    </xf>
    <xf numFmtId="4" fontId="11" fillId="0" borderId="0" xfId="1" applyNumberFormat="1" applyFont="1" applyBorder="1" applyAlignment="1">
      <alignment horizontal="center"/>
    </xf>
    <xf numFmtId="4" fontId="11" fillId="0" borderId="0" xfId="0" applyNumberFormat="1" applyFont="1"/>
    <xf numFmtId="4" fontId="11" fillId="0" borderId="0" xfId="0" applyNumberFormat="1" applyFont="1" applyBorder="1" applyAlignment="1">
      <alignment horizontal="left" indent="1"/>
    </xf>
    <xf numFmtId="4" fontId="11" fillId="0" borderId="0" xfId="0" applyNumberFormat="1" applyFont="1" applyBorder="1" applyAlignment="1">
      <alignment horizontal="right"/>
    </xf>
    <xf numFmtId="4" fontId="11" fillId="0" borderId="0" xfId="1" applyNumberFormat="1" applyFont="1" applyBorder="1"/>
    <xf numFmtId="4" fontId="7" fillId="0" borderId="0" xfId="0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9" fontId="2" fillId="0" borderId="1" xfId="0" applyNumberFormat="1" applyFont="1" applyFill="1" applyBorder="1" applyProtection="1">
      <protection locked="0"/>
    </xf>
    <xf numFmtId="9" fontId="2" fillId="0" borderId="1" xfId="0" applyNumberFormat="1" applyFont="1" applyFill="1" applyBorder="1" applyProtection="1"/>
    <xf numFmtId="9" fontId="2" fillId="0" borderId="5" xfId="0" applyNumberFormat="1" applyFont="1" applyFill="1" applyBorder="1" applyProtection="1">
      <protection locked="0"/>
    </xf>
    <xf numFmtId="1" fontId="6" fillId="6" borderId="0" xfId="1" applyNumberFormat="1" applyFont="1" applyFill="1" applyBorder="1" applyAlignment="1" applyProtection="1">
      <alignment horizontal="right"/>
    </xf>
    <xf numFmtId="1" fontId="4" fillId="6" borderId="0" xfId="1" applyNumberFormat="1" applyFont="1" applyFill="1" applyBorder="1" applyAlignment="1" applyProtection="1">
      <alignment horizontal="right"/>
    </xf>
    <xf numFmtId="1" fontId="17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>
      <alignment horizontal="right"/>
    </xf>
    <xf numFmtId="1" fontId="11" fillId="0" borderId="10" xfId="0" applyNumberFormat="1" applyFont="1" applyBorder="1" applyAlignment="1">
      <alignment horizontal="left" indent="1"/>
    </xf>
    <xf numFmtId="1" fontId="7" fillId="0" borderId="10" xfId="0" applyNumberFormat="1" applyFont="1" applyFill="1" applyBorder="1" applyAlignment="1">
      <alignment horizontal="left" indent="1"/>
    </xf>
    <xf numFmtId="1" fontId="7" fillId="0" borderId="0" xfId="0" applyNumberFormat="1" applyFont="1" applyBorder="1" applyAlignment="1">
      <alignment horizontal="left" indent="1"/>
    </xf>
    <xf numFmtId="1" fontId="7" fillId="0" borderId="0" xfId="0" applyNumberFormat="1" applyFont="1" applyBorder="1" applyAlignment="1">
      <alignment horizontal="right"/>
    </xf>
    <xf numFmtId="1" fontId="11" fillId="0" borderId="0" xfId="1" applyNumberFormat="1" applyFont="1" applyBorder="1"/>
    <xf numFmtId="1" fontId="11" fillId="0" borderId="10" xfId="0" applyNumberFormat="1" applyFont="1" applyFill="1" applyBorder="1" applyAlignment="1">
      <alignment horizontal="left" wrapText="1" indent="1"/>
    </xf>
    <xf numFmtId="1" fontId="11" fillId="0" borderId="0" xfId="0" applyNumberFormat="1" applyFont="1" applyFill="1" applyBorder="1" applyAlignment="1">
      <alignment horizontal="left" indent="1"/>
    </xf>
    <xf numFmtId="1" fontId="7" fillId="0" borderId="0" xfId="1" applyNumberFormat="1" applyFont="1" applyBorder="1"/>
    <xf numFmtId="1" fontId="11" fillId="0" borderId="0" xfId="0" applyNumberFormat="1" applyFont="1" applyBorder="1" applyAlignment="1">
      <alignment horizontal="left" indent="1"/>
    </xf>
    <xf numFmtId="1" fontId="11" fillId="0" borderId="0" xfId="0" applyNumberFormat="1" applyFont="1" applyBorder="1" applyAlignment="1">
      <alignment horizontal="right"/>
    </xf>
    <xf numFmtId="1" fontId="21" fillId="0" borderId="0" xfId="0" applyNumberFormat="1" applyFont="1" applyBorder="1" applyAlignment="1">
      <alignment horizontal="left" indent="1"/>
    </xf>
    <xf numFmtId="1" fontId="21" fillId="0" borderId="0" xfId="0" applyNumberFormat="1" applyFont="1" applyBorder="1" applyAlignment="1">
      <alignment horizontal="right"/>
    </xf>
    <xf numFmtId="1" fontId="7" fillId="0" borderId="10" xfId="0" applyNumberFormat="1" applyFont="1" applyBorder="1" applyAlignment="1">
      <alignment horizontal="left" indent="1"/>
    </xf>
    <xf numFmtId="1" fontId="20" fillId="0" borderId="10" xfId="0" applyNumberFormat="1" applyFont="1" applyBorder="1" applyAlignment="1">
      <alignment horizontal="left" indent="1"/>
    </xf>
    <xf numFmtId="1" fontId="13" fillId="0" borderId="0" xfId="0" applyNumberFormat="1" applyFont="1" applyBorder="1" applyAlignment="1">
      <alignment horizontal="left" indent="1"/>
    </xf>
    <xf numFmtId="1" fontId="13" fillId="0" borderId="0" xfId="0" applyNumberFormat="1" applyFont="1" applyBorder="1" applyAlignment="1">
      <alignment horizontal="right"/>
    </xf>
    <xf numFmtId="14" fontId="6" fillId="6" borderId="0" xfId="0" applyNumberFormat="1" applyFont="1" applyFill="1" applyAlignment="1" applyProtection="1">
      <alignment horizontal="left"/>
    </xf>
    <xf numFmtId="14" fontId="4" fillId="6" borderId="0" xfId="0" applyNumberFormat="1" applyFont="1" applyFill="1"/>
    <xf numFmtId="165" fontId="4" fillId="6" borderId="0" xfId="0" applyNumberFormat="1" applyFont="1" applyFill="1" applyBorder="1" applyAlignment="1" applyProtection="1">
      <alignment horizontal="right"/>
    </xf>
    <xf numFmtId="3" fontId="25" fillId="6" borderId="1" xfId="1" applyNumberFormat="1" applyFont="1" applyFill="1" applyBorder="1" applyAlignment="1" applyProtection="1">
      <alignment horizontal="right"/>
      <protection hidden="1"/>
    </xf>
    <xf numFmtId="3" fontId="26" fillId="6" borderId="1" xfId="1" applyNumberFormat="1" applyFont="1" applyFill="1" applyBorder="1" applyAlignment="1" applyProtection="1">
      <alignment horizontal="right"/>
      <protection hidden="1"/>
    </xf>
    <xf numFmtId="3" fontId="17" fillId="6" borderId="1" xfId="1" applyNumberFormat="1" applyFont="1" applyFill="1" applyBorder="1" applyAlignment="1" applyProtection="1">
      <alignment horizontal="right"/>
      <protection hidden="1"/>
    </xf>
    <xf numFmtId="3" fontId="25" fillId="6" borderId="2" xfId="1" applyNumberFormat="1" applyFont="1" applyFill="1" applyBorder="1" applyAlignment="1" applyProtection="1">
      <alignment horizontal="right"/>
      <protection hidden="1"/>
    </xf>
    <xf numFmtId="3" fontId="4" fillId="6" borderId="0" xfId="1" applyNumberFormat="1" applyFont="1" applyFill="1" applyBorder="1" applyAlignment="1" applyProtection="1">
      <alignment horizontal="right"/>
    </xf>
    <xf numFmtId="3" fontId="25" fillId="6" borderId="11" xfId="1" applyNumberFormat="1" applyFont="1" applyFill="1" applyBorder="1" applyAlignment="1" applyProtection="1">
      <alignment horizontal="right"/>
      <protection hidden="1"/>
    </xf>
    <xf numFmtId="3" fontId="25" fillId="6" borderId="12" xfId="1" applyNumberFormat="1" applyFont="1" applyFill="1" applyBorder="1" applyAlignment="1" applyProtection="1">
      <alignment horizontal="right"/>
      <protection hidden="1"/>
    </xf>
    <xf numFmtId="3" fontId="39" fillId="6" borderId="2" xfId="1" applyNumberFormat="1" applyFont="1" applyFill="1" applyBorder="1" applyAlignment="1" applyProtection="1">
      <alignment horizontal="right"/>
      <protection hidden="1"/>
    </xf>
    <xf numFmtId="3" fontId="40" fillId="6" borderId="0" xfId="1" applyNumberFormat="1" applyFont="1" applyFill="1" applyBorder="1" applyAlignment="1" applyProtection="1">
      <alignment horizontal="right"/>
    </xf>
    <xf numFmtId="3" fontId="6" fillId="6" borderId="0" xfId="1" applyNumberFormat="1" applyFont="1" applyFill="1" applyBorder="1" applyAlignment="1" applyProtection="1">
      <alignment horizontal="right"/>
    </xf>
    <xf numFmtId="3" fontId="11" fillId="0" borderId="10" xfId="0" applyNumberFormat="1" applyFont="1" applyBorder="1" applyAlignment="1" applyProtection="1">
      <alignment horizontal="right"/>
      <protection locked="0"/>
    </xf>
    <xf numFmtId="3" fontId="23" fillId="0" borderId="10" xfId="1" applyNumberFormat="1" applyFont="1" applyBorder="1" applyProtection="1">
      <protection hidden="1"/>
    </xf>
    <xf numFmtId="3" fontId="11" fillId="0" borderId="10" xfId="1" applyNumberFormat="1" applyFont="1" applyBorder="1" applyProtection="1">
      <protection locked="0"/>
    </xf>
    <xf numFmtId="3" fontId="8" fillId="0" borderId="10" xfId="1" applyNumberFormat="1" applyFont="1" applyBorder="1" applyAlignment="1" applyProtection="1">
      <alignment horizontal="right"/>
      <protection hidden="1"/>
    </xf>
    <xf numFmtId="3" fontId="8" fillId="0" borderId="10" xfId="1" applyNumberFormat="1" applyFont="1" applyBorder="1" applyProtection="1">
      <protection hidden="1"/>
    </xf>
    <xf numFmtId="3" fontId="20" fillId="0" borderId="10" xfId="0" applyNumberFormat="1" applyFont="1" applyFill="1" applyBorder="1" applyAlignment="1">
      <alignment horizontal="right"/>
    </xf>
    <xf numFmtId="3" fontId="24" fillId="0" borderId="10" xfId="1" applyNumberFormat="1" applyFont="1" applyBorder="1" applyProtection="1">
      <protection hidden="1"/>
    </xf>
    <xf numFmtId="3" fontId="20" fillId="0" borderId="1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0" xfId="1" applyNumberFormat="1" applyFont="1" applyBorder="1"/>
    <xf numFmtId="3" fontId="8" fillId="0" borderId="0" xfId="1" applyNumberFormat="1" applyFont="1" applyBorder="1" applyAlignment="1" applyProtection="1">
      <alignment horizontal="right"/>
      <protection hidden="1"/>
    </xf>
    <xf numFmtId="3" fontId="8" fillId="0" borderId="0" xfId="1" applyNumberFormat="1" applyFont="1" applyBorder="1" applyProtection="1">
      <protection hidden="1"/>
    </xf>
    <xf numFmtId="3" fontId="21" fillId="0" borderId="0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9" fontId="7" fillId="0" borderId="0" xfId="0" applyNumberFormat="1" applyFont="1" applyBorder="1" applyAlignment="1">
      <alignment horizontal="center" wrapText="1"/>
    </xf>
    <xf numFmtId="169" fontId="7" fillId="0" borderId="0" xfId="0" applyNumberFormat="1" applyFont="1" applyBorder="1" applyAlignment="1" applyProtection="1">
      <alignment horizontal="center"/>
      <protection locked="0"/>
    </xf>
    <xf numFmtId="17" fontId="4" fillId="0" borderId="1" xfId="0" applyNumberFormat="1" applyFont="1" applyBorder="1" applyProtection="1"/>
    <xf numFmtId="4" fontId="4" fillId="6" borderId="0" xfId="0" applyNumberFormat="1" applyFont="1" applyFill="1" applyProtection="1"/>
    <xf numFmtId="3" fontId="11" fillId="0" borderId="10" xfId="0" applyNumberFormat="1" applyFont="1" applyBorder="1" applyAlignment="1" applyProtection="1">
      <alignment horizontal="right"/>
    </xf>
    <xf numFmtId="1" fontId="4" fillId="6" borderId="0" xfId="0" applyNumberFormat="1" applyFont="1" applyFill="1" applyBorder="1" applyAlignment="1" applyProtection="1">
      <alignment horizontal="right"/>
    </xf>
    <xf numFmtId="1" fontId="4" fillId="0" borderId="1" xfId="0" applyNumberFormat="1" applyFont="1" applyBorder="1" applyAlignment="1" applyProtection="1">
      <alignment horizontal="center"/>
    </xf>
    <xf numFmtId="1" fontId="28" fillId="6" borderId="0" xfId="0" applyNumberFormat="1" applyFont="1" applyFill="1" applyBorder="1" applyAlignment="1" applyProtection="1">
      <alignment horizontal="right"/>
    </xf>
    <xf numFmtId="1" fontId="16" fillId="0" borderId="1" xfId="0" applyNumberFormat="1" applyFont="1" applyFill="1" applyBorder="1" applyAlignment="1" applyProtection="1">
      <alignment horizontal="right"/>
      <protection hidden="1"/>
    </xf>
    <xf numFmtId="1" fontId="14" fillId="6" borderId="0" xfId="0" applyNumberFormat="1" applyFont="1" applyFill="1" applyBorder="1" applyAlignment="1" applyProtection="1">
      <alignment horizontal="right"/>
    </xf>
    <xf numFmtId="1" fontId="16" fillId="6" borderId="2" xfId="1" applyNumberFormat="1" applyFont="1" applyFill="1" applyBorder="1" applyAlignment="1" applyProtection="1">
      <alignment horizontal="right"/>
      <protection hidden="1"/>
    </xf>
    <xf numFmtId="1" fontId="30" fillId="6" borderId="1" xfId="1" applyNumberFormat="1" applyFont="1" applyFill="1" applyBorder="1" applyAlignment="1" applyProtection="1">
      <alignment horizontal="right"/>
      <protection hidden="1"/>
    </xf>
    <xf numFmtId="1" fontId="10" fillId="6" borderId="0" xfId="1" applyNumberFormat="1" applyFont="1" applyFill="1" applyBorder="1" applyAlignment="1" applyProtection="1">
      <alignment horizontal="right"/>
    </xf>
    <xf numFmtId="1" fontId="16" fillId="6" borderId="1" xfId="1" applyNumberFormat="1" applyFont="1" applyFill="1" applyBorder="1" applyAlignment="1" applyProtection="1">
      <alignment horizontal="right"/>
      <protection hidden="1"/>
    </xf>
    <xf numFmtId="1" fontId="4" fillId="6" borderId="1" xfId="1" applyNumberFormat="1" applyFont="1" applyFill="1" applyBorder="1" applyAlignment="1" applyProtection="1">
      <alignment horizontal="right"/>
      <protection locked="0"/>
    </xf>
    <xf numFmtId="1" fontId="4" fillId="6" borderId="0" xfId="1" applyNumberFormat="1" applyFont="1" applyFill="1" applyBorder="1" applyAlignment="1" applyProtection="1">
      <alignment horizontal="right"/>
      <protection locked="0"/>
    </xf>
    <xf numFmtId="1" fontId="16" fillId="6" borderId="1" xfId="1" applyNumberFormat="1" applyFont="1" applyFill="1" applyBorder="1" applyAlignment="1" applyProtection="1">
      <alignment horizontal="right"/>
    </xf>
    <xf numFmtId="1" fontId="16" fillId="6" borderId="8" xfId="1" applyNumberFormat="1" applyFont="1" applyFill="1" applyBorder="1" applyAlignment="1" applyProtection="1">
      <alignment horizontal="right"/>
      <protection hidden="1"/>
    </xf>
    <xf numFmtId="1" fontId="61" fillId="6" borderId="1" xfId="1" applyNumberFormat="1" applyFont="1" applyFill="1" applyBorder="1" applyAlignment="1" applyProtection="1">
      <alignment horizontal="right"/>
    </xf>
    <xf numFmtId="1" fontId="4" fillId="6" borderId="0" xfId="0" applyNumberFormat="1" applyFont="1" applyFill="1" applyAlignment="1" applyProtection="1">
      <alignment horizontal="right"/>
      <protection locked="0"/>
    </xf>
    <xf numFmtId="1" fontId="4" fillId="6" borderId="7" xfId="1" applyNumberFormat="1" applyFont="1" applyFill="1" applyBorder="1" applyAlignment="1" applyProtection="1">
      <alignment horizontal="right"/>
      <protection locked="0"/>
    </xf>
    <xf numFmtId="1" fontId="4" fillId="6" borderId="0" xfId="0" applyNumberFormat="1" applyFont="1" applyFill="1" applyBorder="1" applyAlignment="1">
      <alignment horizontal="right"/>
    </xf>
    <xf numFmtId="1" fontId="4" fillId="6" borderId="0" xfId="0" applyNumberFormat="1" applyFont="1" applyFill="1" applyBorder="1"/>
    <xf numFmtId="1" fontId="4" fillId="6" borderId="0" xfId="0" applyNumberFormat="1" applyFont="1" applyFill="1"/>
    <xf numFmtId="1" fontId="4" fillId="6" borderId="0" xfId="0" applyNumberFormat="1" applyFont="1" applyFill="1" applyAlignment="1" applyProtection="1">
      <alignment horizontal="right"/>
      <protection hidden="1"/>
    </xf>
    <xf numFmtId="1" fontId="32" fillId="6" borderId="2" xfId="1" applyNumberFormat="1" applyFont="1" applyFill="1" applyBorder="1" applyAlignment="1" applyProtection="1">
      <alignment horizontal="right"/>
      <protection hidden="1"/>
    </xf>
    <xf numFmtId="1" fontId="16" fillId="6" borderId="0" xfId="1" applyNumberFormat="1" applyFont="1" applyFill="1" applyBorder="1" applyAlignment="1" applyProtection="1">
      <alignment horizontal="right"/>
      <protection hidden="1"/>
    </xf>
    <xf numFmtId="1" fontId="4" fillId="6" borderId="0" xfId="0" applyNumberFormat="1" applyFont="1" applyFill="1" applyAlignment="1" applyProtection="1">
      <alignment horizontal="right"/>
    </xf>
    <xf numFmtId="1" fontId="16" fillId="6" borderId="0" xfId="1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Protection="1">
      <protection locked="0"/>
    </xf>
    <xf numFmtId="3" fontId="2" fillId="0" borderId="3" xfId="0" applyNumberFormat="1" applyFont="1" applyFill="1" applyBorder="1" applyProtection="1"/>
    <xf numFmtId="3" fontId="2" fillId="0" borderId="13" xfId="0" applyNumberFormat="1" applyFont="1" applyFill="1" applyBorder="1" applyProtection="1">
      <protection locked="0"/>
    </xf>
    <xf numFmtId="1" fontId="2" fillId="0" borderId="3" xfId="0" applyNumberFormat="1" applyFont="1" applyFill="1" applyBorder="1" applyProtection="1">
      <protection locked="0"/>
    </xf>
    <xf numFmtId="1" fontId="2" fillId="0" borderId="3" xfId="0" applyNumberFormat="1" applyFont="1" applyFill="1" applyBorder="1" applyProtection="1"/>
    <xf numFmtId="1" fontId="2" fillId="0" borderId="13" xfId="0" applyNumberFormat="1" applyFont="1" applyFill="1" applyBorder="1" applyProtection="1">
      <protection locked="0"/>
    </xf>
    <xf numFmtId="3" fontId="2" fillId="0" borderId="3" xfId="0" applyNumberFormat="1" applyFont="1" applyBorder="1" applyProtection="1">
      <protection locked="0"/>
    </xf>
    <xf numFmtId="3" fontId="2" fillId="0" borderId="3" xfId="0" applyNumberFormat="1" applyFont="1" applyBorder="1" applyProtection="1"/>
    <xf numFmtId="3" fontId="2" fillId="0" borderId="13" xfId="0" applyNumberFormat="1" applyFont="1" applyBorder="1" applyProtection="1">
      <protection locked="0"/>
    </xf>
    <xf numFmtId="1" fontId="2" fillId="0" borderId="3" xfId="0" applyNumberFormat="1" applyFont="1" applyBorder="1" applyProtection="1">
      <protection locked="0"/>
    </xf>
    <xf numFmtId="1" fontId="2" fillId="0" borderId="3" xfId="0" applyNumberFormat="1" applyFont="1" applyBorder="1" applyProtection="1"/>
    <xf numFmtId="1" fontId="2" fillId="0" borderId="13" xfId="0" applyNumberFormat="1" applyFont="1" applyBorder="1" applyProtection="1">
      <protection locked="0"/>
    </xf>
    <xf numFmtId="1" fontId="2" fillId="0" borderId="0" xfId="0" applyNumberFormat="1" applyFont="1"/>
    <xf numFmtId="0" fontId="1" fillId="0" borderId="0" xfId="0" applyFont="1" applyAlignment="1">
      <alignment wrapText="1"/>
    </xf>
    <xf numFmtId="9" fontId="62" fillId="6" borderId="0" xfId="3" applyFont="1" applyFill="1" applyBorder="1" applyAlignment="1" applyProtection="1">
      <alignment horizontal="right"/>
    </xf>
    <xf numFmtId="9" fontId="25" fillId="6" borderId="1" xfId="1" applyNumberFormat="1" applyFont="1" applyFill="1" applyBorder="1" applyAlignment="1" applyProtection="1">
      <alignment horizontal="right"/>
      <protection hidden="1"/>
    </xf>
    <xf numFmtId="9" fontId="30" fillId="6" borderId="2" xfId="1" applyNumberFormat="1" applyFont="1" applyFill="1" applyBorder="1" applyAlignment="1" applyProtection="1">
      <alignment horizontal="right"/>
      <protection hidden="1"/>
    </xf>
    <xf numFmtId="0" fontId="44" fillId="0" borderId="0" xfId="2" applyFont="1" applyBorder="1" applyAlignment="1">
      <alignment horizontal="left" vertical="top"/>
    </xf>
    <xf numFmtId="0" fontId="44" fillId="0" borderId="0" xfId="2" applyFont="1" applyBorder="1" applyAlignment="1">
      <alignment horizontal="center" vertical="top"/>
    </xf>
    <xf numFmtId="0" fontId="45" fillId="0" borderId="0" xfId="0" applyFont="1" applyAlignment="1"/>
    <xf numFmtId="0" fontId="44" fillId="0" borderId="14" xfId="2" applyFont="1" applyBorder="1" applyAlignment="1">
      <alignment horizontal="left" vertical="top"/>
    </xf>
    <xf numFmtId="0" fontId="45" fillId="0" borderId="14" xfId="0" applyFont="1" applyBorder="1" applyAlignment="1">
      <alignment horizontal="center" vertical="top"/>
    </xf>
    <xf numFmtId="0" fontId="45" fillId="0" borderId="14" xfId="0" applyFont="1" applyBorder="1" applyAlignment="1">
      <alignment horizontal="center"/>
    </xf>
    <xf numFmtId="0" fontId="46" fillId="8" borderId="15" xfId="0" applyFont="1" applyFill="1" applyBorder="1" applyAlignment="1" applyProtection="1">
      <alignment horizontal="center" vertical="center"/>
      <protection locked="0"/>
    </xf>
    <xf numFmtId="0" fontId="46" fillId="8" borderId="16" xfId="0" applyFont="1" applyFill="1" applyBorder="1" applyAlignment="1" applyProtection="1">
      <alignment horizontal="center" vertical="center" wrapText="1"/>
      <protection locked="0"/>
    </xf>
    <xf numFmtId="0" fontId="47" fillId="8" borderId="17" xfId="0" applyFont="1" applyFill="1" applyBorder="1" applyAlignment="1" applyProtection="1">
      <alignment horizontal="center" vertical="center" wrapText="1"/>
      <protection locked="0"/>
    </xf>
    <xf numFmtId="0" fontId="48" fillId="0" borderId="18" xfId="0" applyFont="1" applyBorder="1" applyAlignment="1">
      <alignment horizontal="center"/>
    </xf>
    <xf numFmtId="0" fontId="48" fillId="6" borderId="1" xfId="0" applyFont="1" applyFill="1" applyBorder="1" applyAlignment="1">
      <alignment horizontal="center" vertical="center" wrapText="1"/>
    </xf>
    <xf numFmtId="0" fontId="48" fillId="6" borderId="7" xfId="0" applyFont="1" applyFill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50" fillId="8" borderId="20" xfId="0" applyFont="1" applyFill="1" applyBorder="1" applyAlignment="1" applyProtection="1">
      <alignment horizontal="center" vertical="center"/>
      <protection locked="0"/>
    </xf>
    <xf numFmtId="0" fontId="50" fillId="8" borderId="7" xfId="0" applyFont="1" applyFill="1" applyBorder="1" applyAlignment="1" applyProtection="1">
      <alignment horizontal="left" vertical="center" wrapText="1"/>
      <protection locked="0"/>
    </xf>
    <xf numFmtId="3" fontId="51" fillId="8" borderId="1" xfId="0" applyNumberFormat="1" applyFont="1" applyFill="1" applyBorder="1" applyAlignment="1" applyProtection="1">
      <alignment wrapText="1"/>
      <protection locked="0"/>
    </xf>
    <xf numFmtId="4" fontId="50" fillId="8" borderId="1" xfId="0" applyNumberFormat="1" applyFont="1" applyFill="1" applyBorder="1" applyAlignment="1" applyProtection="1">
      <alignment wrapText="1"/>
      <protection locked="0"/>
    </xf>
    <xf numFmtId="0" fontId="52" fillId="8" borderId="19" xfId="0" applyFont="1" applyFill="1" applyBorder="1" applyAlignment="1" applyProtection="1">
      <alignment wrapText="1"/>
      <protection locked="0"/>
    </xf>
    <xf numFmtId="16" fontId="46" fillId="0" borderId="20" xfId="0" applyNumberFormat="1" applyFont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left" wrapText="1"/>
    </xf>
    <xf numFmtId="3" fontId="53" fillId="0" borderId="1" xfId="0" applyNumberFormat="1" applyFont="1" applyBorder="1" applyAlignment="1">
      <alignment wrapText="1"/>
    </xf>
    <xf numFmtId="4" fontId="53" fillId="0" borderId="7" xfId="0" applyNumberFormat="1" applyFont="1" applyBorder="1" applyAlignment="1">
      <alignment wrapText="1"/>
    </xf>
    <xf numFmtId="0" fontId="54" fillId="0" borderId="19" xfId="0" applyFont="1" applyBorder="1" applyAlignment="1">
      <alignment wrapText="1"/>
    </xf>
    <xf numFmtId="16" fontId="46" fillId="0" borderId="20" xfId="0" applyNumberFormat="1" applyFont="1" applyBorder="1" applyAlignment="1">
      <alignment horizontal="center" vertical="center"/>
    </xf>
    <xf numFmtId="4" fontId="53" fillId="0" borderId="1" xfId="0" applyNumberFormat="1" applyFont="1" applyBorder="1" applyAlignment="1">
      <alignment wrapText="1"/>
    </xf>
    <xf numFmtId="0" fontId="46" fillId="0" borderId="7" xfId="0" applyFont="1" applyBorder="1" applyAlignment="1">
      <alignment horizontal="left" wrapText="1"/>
    </xf>
    <xf numFmtId="3" fontId="51" fillId="8" borderId="1" xfId="0" applyNumberFormat="1" applyFont="1" applyFill="1" applyBorder="1" applyAlignment="1">
      <alignment wrapText="1"/>
    </xf>
    <xf numFmtId="4" fontId="50" fillId="8" borderId="1" xfId="0" applyNumberFormat="1" applyFont="1" applyFill="1" applyBorder="1" applyAlignment="1">
      <alignment wrapText="1"/>
    </xf>
    <xf numFmtId="16" fontId="50" fillId="8" borderId="20" xfId="0" applyNumberFormat="1" applyFont="1" applyFill="1" applyBorder="1" applyAlignment="1">
      <alignment horizontal="center" vertical="center"/>
    </xf>
    <xf numFmtId="0" fontId="50" fillId="8" borderId="7" xfId="0" applyFont="1" applyFill="1" applyBorder="1" applyAlignment="1">
      <alignment horizontal="left" vertical="center" wrapText="1"/>
    </xf>
    <xf numFmtId="0" fontId="50" fillId="8" borderId="20" xfId="0" applyFont="1" applyFill="1" applyBorder="1" applyAlignment="1">
      <alignment horizontal="center" vertical="center"/>
    </xf>
    <xf numFmtId="16" fontId="46" fillId="0" borderId="20" xfId="0" applyNumberFormat="1" applyFont="1" applyFill="1" applyBorder="1" applyAlignment="1">
      <alignment horizontal="center" vertical="center"/>
    </xf>
    <xf numFmtId="0" fontId="54" fillId="8" borderId="21" xfId="0" applyFont="1" applyFill="1" applyBorder="1" applyProtection="1">
      <protection locked="0"/>
    </xf>
    <xf numFmtId="0" fontId="55" fillId="8" borderId="22" xfId="0" applyFont="1" applyFill="1" applyBorder="1" applyAlignment="1" applyProtection="1">
      <alignment horizontal="right" wrapText="1"/>
      <protection locked="0"/>
    </xf>
    <xf numFmtId="0" fontId="50" fillId="8" borderId="22" xfId="0" applyFont="1" applyFill="1" applyBorder="1" applyAlignment="1" applyProtection="1">
      <alignment horizontal="right" wrapText="1"/>
      <protection locked="0"/>
    </xf>
    <xf numFmtId="4" fontId="50" fillId="8" borderId="23" xfId="0" applyNumberFormat="1" applyFont="1" applyFill="1" applyBorder="1" applyAlignment="1">
      <alignment horizontal="right" wrapText="1"/>
    </xf>
    <xf numFmtId="0" fontId="52" fillId="0" borderId="0" xfId="0" applyFont="1"/>
    <xf numFmtId="0" fontId="52" fillId="0" borderId="0" xfId="0" applyFont="1" applyAlignment="1">
      <alignment wrapText="1"/>
    </xf>
    <xf numFmtId="0" fontId="51" fillId="0" borderId="0" xfId="0" applyFont="1" applyAlignment="1">
      <alignment wrapText="1"/>
    </xf>
    <xf numFmtId="0" fontId="56" fillId="0" borderId="0" xfId="0" applyFont="1"/>
    <xf numFmtId="0" fontId="50" fillId="0" borderId="0" xfId="0" applyFont="1" applyFill="1" applyBorder="1" applyAlignment="1" applyProtection="1">
      <alignment horizontal="right" vertical="center"/>
      <protection locked="0"/>
    </xf>
    <xf numFmtId="4" fontId="50" fillId="9" borderId="11" xfId="0" applyNumberFormat="1" applyFont="1" applyFill="1" applyBorder="1" applyAlignment="1">
      <alignment horizontal="right" wrapText="1"/>
    </xf>
    <xf numFmtId="4" fontId="50" fillId="9" borderId="1" xfId="0" applyNumberFormat="1" applyFont="1" applyFill="1" applyBorder="1" applyAlignment="1">
      <alignment horizontal="right" wrapText="1"/>
    </xf>
    <xf numFmtId="0" fontId="46" fillId="8" borderId="24" xfId="0" applyFont="1" applyFill="1" applyBorder="1" applyAlignment="1" applyProtection="1">
      <alignment horizontal="center" vertical="center" wrapText="1"/>
      <protection locked="0"/>
    </xf>
    <xf numFmtId="0" fontId="48" fillId="0" borderId="11" xfId="0" applyFont="1" applyBorder="1" applyAlignment="1">
      <alignment horizontal="center" vertical="center" wrapText="1"/>
    </xf>
    <xf numFmtId="0" fontId="46" fillId="8" borderId="9" xfId="0" applyFont="1" applyFill="1" applyBorder="1" applyAlignment="1" applyProtection="1">
      <alignment horizontal="center" vertical="center" wrapText="1"/>
      <protection locked="0"/>
    </xf>
    <xf numFmtId="0" fontId="52" fillId="8" borderId="23" xfId="0" applyFont="1" applyFill="1" applyBorder="1" applyAlignment="1" applyProtection="1">
      <alignment wrapText="1"/>
      <protection locked="0"/>
    </xf>
    <xf numFmtId="10" fontId="50" fillId="9" borderId="25" xfId="0" applyNumberFormat="1" applyFont="1" applyFill="1" applyBorder="1" applyAlignment="1"/>
    <xf numFmtId="10" fontId="50" fillId="9" borderId="7" xfId="0" applyNumberFormat="1" applyFont="1" applyFill="1" applyBorder="1" applyAlignment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 applyBorder="1"/>
    <xf numFmtId="0" fontId="0" fillId="0" borderId="30" xfId="0" applyBorder="1"/>
    <xf numFmtId="0" fontId="0" fillId="0" borderId="25" xfId="0" applyBorder="1"/>
    <xf numFmtId="0" fontId="0" fillId="0" borderId="31" xfId="0" applyBorder="1"/>
    <xf numFmtId="0" fontId="0" fillId="0" borderId="32" xfId="0" applyBorder="1"/>
    <xf numFmtId="0" fontId="7" fillId="0" borderId="27" xfId="0" applyFont="1" applyBorder="1"/>
    <xf numFmtId="0" fontId="63" fillId="0" borderId="33" xfId="0" applyFont="1" applyFill="1" applyBorder="1"/>
    <xf numFmtId="0" fontId="0" fillId="0" borderId="34" xfId="0" applyFill="1" applyBorder="1"/>
    <xf numFmtId="0" fontId="7" fillId="0" borderId="34" xfId="0" applyFont="1" applyFill="1" applyBorder="1"/>
    <xf numFmtId="0" fontId="0" fillId="0" borderId="35" xfId="0" applyFill="1" applyBorder="1"/>
    <xf numFmtId="0" fontId="63" fillId="0" borderId="0" xfId="0" applyFont="1" applyFill="1"/>
    <xf numFmtId="3" fontId="7" fillId="0" borderId="0" xfId="0" applyNumberFormat="1" applyFont="1" applyFill="1" applyBorder="1" applyAlignment="1">
      <alignment horizontal="center"/>
    </xf>
    <xf numFmtId="0" fontId="7" fillId="0" borderId="36" xfId="0" applyFont="1" applyFill="1" applyBorder="1"/>
    <xf numFmtId="0" fontId="7" fillId="0" borderId="0" xfId="0" applyFont="1" applyFill="1" applyBorder="1"/>
    <xf numFmtId="0" fontId="7" fillId="0" borderId="37" xfId="0" applyFont="1" applyFill="1" applyBorder="1"/>
    <xf numFmtId="9" fontId="7" fillId="0" borderId="36" xfId="0" applyNumberFormat="1" applyFont="1" applyFill="1" applyBorder="1"/>
    <xf numFmtId="9" fontId="7" fillId="0" borderId="38" xfId="0" applyNumberFormat="1" applyFont="1" applyFill="1" applyBorder="1"/>
    <xf numFmtId="0" fontId="7" fillId="0" borderId="14" xfId="0" applyFont="1" applyFill="1" applyBorder="1"/>
    <xf numFmtId="0" fontId="7" fillId="0" borderId="39" xfId="0" applyFont="1" applyFill="1" applyBorder="1"/>
    <xf numFmtId="0" fontId="1" fillId="0" borderId="0" xfId="0" applyFont="1" applyFill="1"/>
    <xf numFmtId="0" fontId="64" fillId="0" borderId="0" xfId="0" applyFont="1" applyAlignment="1"/>
    <xf numFmtId="4" fontId="4" fillId="0" borderId="1" xfId="0" applyNumberFormat="1" applyFont="1" applyFill="1" applyBorder="1" applyAlignment="1" applyProtection="1">
      <alignment horizontal="right"/>
      <protection locked="0"/>
    </xf>
    <xf numFmtId="1" fontId="16" fillId="0" borderId="1" xfId="1" applyNumberFormat="1" applyFont="1" applyFill="1" applyBorder="1" applyAlignment="1" applyProtection="1">
      <alignment horizontal="right"/>
      <protection hidden="1"/>
    </xf>
    <xf numFmtId="1" fontId="4" fillId="0" borderId="1" xfId="1" applyNumberFormat="1" applyFont="1" applyFill="1" applyBorder="1" applyAlignment="1" applyProtection="1">
      <alignment horizontal="right"/>
      <protection locked="0"/>
    </xf>
    <xf numFmtId="4" fontId="4" fillId="0" borderId="0" xfId="0" applyNumberFormat="1" applyFont="1" applyFill="1" applyBorder="1" applyAlignment="1">
      <alignment horizontal="left" indent="1"/>
    </xf>
    <xf numFmtId="4" fontId="65" fillId="0" borderId="1" xfId="0" applyNumberFormat="1" applyFont="1" applyFill="1" applyBorder="1" applyAlignment="1" applyProtection="1">
      <alignment horizontal="left" indent="3"/>
    </xf>
    <xf numFmtId="3" fontId="25" fillId="0" borderId="1" xfId="1" applyNumberFormat="1" applyFont="1" applyFill="1" applyBorder="1" applyAlignment="1" applyProtection="1">
      <alignment horizontal="right"/>
      <protection hidden="1"/>
    </xf>
    <xf numFmtId="3" fontId="17" fillId="0" borderId="1" xfId="1" applyNumberFormat="1" applyFont="1" applyFill="1" applyBorder="1" applyAlignment="1" applyProtection="1">
      <alignment horizontal="right"/>
      <protection hidden="1"/>
    </xf>
    <xf numFmtId="9" fontId="62" fillId="6" borderId="0" xfId="3" applyFont="1" applyFill="1" applyBorder="1" applyAlignment="1" applyProtection="1">
      <alignment horizontal="center"/>
    </xf>
    <xf numFmtId="4" fontId="41" fillId="6" borderId="1" xfId="0" applyNumberFormat="1" applyFont="1" applyFill="1" applyBorder="1" applyProtection="1"/>
    <xf numFmtId="0" fontId="57" fillId="0" borderId="0" xfId="0" applyFont="1"/>
    <xf numFmtId="10" fontId="66" fillId="0" borderId="30" xfId="0" applyNumberFormat="1" applyFont="1" applyBorder="1"/>
    <xf numFmtId="4" fontId="30" fillId="6" borderId="1" xfId="1" applyNumberFormat="1" applyFont="1" applyFill="1" applyBorder="1" applyAlignment="1" applyProtection="1">
      <alignment horizontal="right"/>
    </xf>
    <xf numFmtId="0" fontId="1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2" fontId="1" fillId="0" borderId="1" xfId="3" applyNumberFormat="1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left"/>
    </xf>
    <xf numFmtId="0" fontId="2" fillId="0" borderId="0" xfId="0" applyFont="1" applyFill="1" applyAlignment="1">
      <alignment wrapText="1"/>
    </xf>
    <xf numFmtId="4" fontId="1" fillId="0" borderId="0" xfId="0" applyNumberFormat="1" applyFont="1" applyAlignment="1">
      <alignment wrapText="1"/>
    </xf>
    <xf numFmtId="0" fontId="0" fillId="7" borderId="1" xfId="0" applyFill="1" applyBorder="1" applyProtection="1"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left" indent="3"/>
    </xf>
    <xf numFmtId="3" fontId="41" fillId="0" borderId="0" xfId="0" applyNumberFormat="1" applyFont="1" applyFill="1" applyAlignment="1" applyProtection="1">
      <protection locked="0"/>
    </xf>
    <xf numFmtId="3" fontId="35" fillId="0" borderId="0" xfId="0" applyNumberFormat="1" applyFont="1" applyFill="1" applyBorder="1" applyAlignment="1" applyProtection="1">
      <protection locked="0"/>
    </xf>
    <xf numFmtId="3" fontId="2" fillId="0" borderId="1" xfId="0" applyNumberFormat="1" applyFont="1" applyFill="1" applyBorder="1" applyAlignment="1" applyProtection="1">
      <protection locked="0"/>
    </xf>
    <xf numFmtId="3" fontId="68" fillId="0" borderId="1" xfId="0" applyNumberFormat="1" applyFont="1" applyFill="1" applyBorder="1" applyAlignment="1" applyProtection="1">
      <protection locked="0"/>
    </xf>
    <xf numFmtId="3" fontId="41" fillId="0" borderId="1" xfId="0" applyNumberFormat="1" applyFont="1" applyFill="1" applyBorder="1" applyAlignment="1" applyProtection="1"/>
    <xf numFmtId="3" fontId="69" fillId="0" borderId="1" xfId="0" applyNumberFormat="1" applyFont="1" applyFill="1" applyBorder="1" applyAlignment="1" applyProtection="1">
      <protection locked="0"/>
    </xf>
    <xf numFmtId="3" fontId="41" fillId="0" borderId="0" xfId="0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protection locked="0"/>
    </xf>
    <xf numFmtId="3" fontId="2" fillId="0" borderId="2" xfId="0" applyNumberFormat="1" applyFont="1" applyFill="1" applyBorder="1" applyAlignment="1" applyProtection="1">
      <protection locked="0"/>
    </xf>
    <xf numFmtId="3" fontId="2" fillId="0" borderId="7" xfId="0" applyNumberFormat="1" applyFont="1" applyFill="1" applyBorder="1" applyAlignment="1" applyProtection="1">
      <protection locked="0"/>
    </xf>
    <xf numFmtId="3" fontId="2" fillId="0" borderId="0" xfId="0" applyNumberFormat="1" applyFont="1" applyFill="1" applyBorder="1" applyAlignment="1" applyProtection="1">
      <alignment vertical="top"/>
    </xf>
    <xf numFmtId="3" fontId="41" fillId="0" borderId="0" xfId="0" applyNumberFormat="1" applyFont="1" applyFill="1" applyBorder="1" applyAlignment="1" applyProtection="1">
      <alignment vertical="top"/>
      <protection locked="0"/>
    </xf>
    <xf numFmtId="3" fontId="2" fillId="0" borderId="7" xfId="0" applyNumberFormat="1" applyFont="1" applyFill="1" applyBorder="1" applyAlignment="1" applyProtection="1">
      <alignment vertical="top"/>
      <protection locked="0"/>
    </xf>
    <xf numFmtId="3" fontId="2" fillId="0" borderId="11" xfId="0" applyNumberFormat="1" applyFont="1" applyFill="1" applyBorder="1" applyAlignment="1" applyProtection="1">
      <alignment vertical="top"/>
      <protection locked="0"/>
    </xf>
    <xf numFmtId="3" fontId="2" fillId="0" borderId="1" xfId="0" applyNumberFormat="1" applyFont="1" applyFill="1" applyBorder="1" applyAlignment="1" applyProtection="1">
      <alignment vertical="top"/>
      <protection locked="0"/>
    </xf>
    <xf numFmtId="3" fontId="2" fillId="0" borderId="11" xfId="0" applyNumberFormat="1" applyFont="1" applyFill="1" applyBorder="1" applyAlignment="1" applyProtection="1">
      <protection locked="0"/>
    </xf>
    <xf numFmtId="3" fontId="2" fillId="0" borderId="12" xfId="0" applyNumberFormat="1" applyFont="1" applyFill="1" applyBorder="1" applyAlignment="1" applyProtection="1">
      <protection locked="0"/>
    </xf>
    <xf numFmtId="3" fontId="41" fillId="0" borderId="2" xfId="0" applyNumberFormat="1" applyFont="1" applyFill="1" applyBorder="1" applyAlignment="1" applyProtection="1"/>
    <xf numFmtId="3" fontId="40" fillId="0" borderId="0" xfId="1" applyNumberFormat="1" applyFont="1" applyFill="1" applyBorder="1" applyAlignment="1" applyProtection="1"/>
    <xf numFmtId="3" fontId="41" fillId="0" borderId="1" xfId="0" applyNumberFormat="1" applyFont="1" applyFill="1" applyBorder="1" applyAlignment="1" applyProtection="1">
      <protection locked="0"/>
    </xf>
    <xf numFmtId="3" fontId="17" fillId="0" borderId="1" xfId="1" applyNumberFormat="1" applyFont="1" applyFill="1" applyBorder="1" applyAlignment="1" applyProtection="1">
      <protection hidden="1"/>
    </xf>
    <xf numFmtId="3" fontId="17" fillId="0" borderId="0" xfId="1" applyNumberFormat="1" applyFont="1" applyFill="1" applyBorder="1" applyAlignment="1" applyProtection="1">
      <protection hidden="1"/>
    </xf>
    <xf numFmtId="3" fontId="2" fillId="6" borderId="0" xfId="0" applyNumberFormat="1" applyFont="1" applyFill="1" applyAlignment="1" applyProtection="1">
      <protection locked="0"/>
    </xf>
    <xf numFmtId="3" fontId="4" fillId="0" borderId="0" xfId="0" applyNumberFormat="1" applyFont="1" applyFill="1" applyAlignment="1" applyProtection="1">
      <protection hidden="1"/>
    </xf>
    <xf numFmtId="3" fontId="4" fillId="0" borderId="0" xfId="3" applyNumberFormat="1" applyFont="1" applyFill="1" applyAlignment="1" applyProtection="1">
      <protection hidden="1"/>
    </xf>
    <xf numFmtId="4" fontId="4" fillId="0" borderId="0" xfId="3" applyNumberFormat="1" applyFont="1" applyFill="1" applyAlignment="1" applyProtection="1">
      <alignment horizontal="right"/>
      <protection hidden="1"/>
    </xf>
    <xf numFmtId="170" fontId="0" fillId="0" borderId="0" xfId="0" applyNumberFormat="1"/>
    <xf numFmtId="0" fontId="1" fillId="7" borderId="1" xfId="0" applyFont="1" applyFill="1" applyBorder="1" applyProtection="1">
      <protection locked="0"/>
    </xf>
    <xf numFmtId="4" fontId="4" fillId="11" borderId="0" xfId="0" applyNumberFormat="1" applyFont="1" applyFill="1" applyProtection="1">
      <protection hidden="1"/>
    </xf>
    <xf numFmtId="4" fontId="4" fillId="11" borderId="0" xfId="0" applyNumberFormat="1" applyFont="1" applyFill="1" applyAlignment="1" applyProtection="1">
      <alignment horizontal="right"/>
      <protection hidden="1"/>
    </xf>
    <xf numFmtId="1" fontId="4" fillId="11" borderId="0" xfId="0" applyNumberFormat="1" applyFont="1" applyFill="1" applyAlignment="1" applyProtection="1">
      <alignment horizontal="right"/>
      <protection hidden="1"/>
    </xf>
    <xf numFmtId="1" fontId="25" fillId="6" borderId="0" xfId="0" applyNumberFormat="1" applyFont="1" applyFill="1" applyBorder="1" applyAlignment="1" applyProtection="1">
      <alignment horizontal="right"/>
    </xf>
    <xf numFmtId="1" fontId="23" fillId="0" borderId="0" xfId="0" applyNumberFormat="1" applyFont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8" xfId="0" applyFont="1" applyBorder="1" applyAlignment="1">
      <alignment wrapText="1"/>
    </xf>
    <xf numFmtId="49" fontId="35" fillId="0" borderId="3" xfId="0" applyNumberFormat="1" applyFont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3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3" xfId="0" applyFont="1" applyFill="1" applyBorder="1" applyAlignment="1" applyProtection="1">
      <alignment horizontal="center"/>
      <protection locked="0"/>
    </xf>
    <xf numFmtId="0" fontId="35" fillId="0" borderId="1" xfId="0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Alignment="1" applyProtection="1">
      <alignment wrapText="1"/>
    </xf>
    <xf numFmtId="0" fontId="11" fillId="0" borderId="0" xfId="0" applyFont="1" applyAlignment="1">
      <alignment horizontal="center"/>
    </xf>
    <xf numFmtId="1" fontId="7" fillId="0" borderId="44" xfId="0" applyNumberFormat="1" applyFont="1" applyBorder="1" applyAlignment="1">
      <alignment horizontal="left"/>
    </xf>
    <xf numFmtId="1" fontId="7" fillId="0" borderId="45" xfId="0" applyNumberFormat="1" applyFont="1" applyBorder="1" applyAlignment="1">
      <alignment horizontal="left"/>
    </xf>
    <xf numFmtId="1" fontId="7" fillId="0" borderId="46" xfId="0" applyNumberFormat="1" applyFont="1" applyBorder="1" applyAlignment="1">
      <alignment horizontal="left"/>
    </xf>
    <xf numFmtId="1" fontId="7" fillId="0" borderId="47" xfId="0" applyNumberFormat="1" applyFont="1" applyBorder="1" applyAlignment="1">
      <alignment horizontal="left"/>
    </xf>
    <xf numFmtId="1" fontId="7" fillId="0" borderId="44" xfId="0" applyNumberFormat="1" applyFont="1" applyFill="1" applyBorder="1" applyAlignment="1">
      <alignment horizontal="left"/>
    </xf>
    <xf numFmtId="1" fontId="7" fillId="0" borderId="45" xfId="0" applyNumberFormat="1" applyFont="1" applyFill="1" applyBorder="1" applyAlignment="1">
      <alignment horizontal="left"/>
    </xf>
    <xf numFmtId="1" fontId="7" fillId="0" borderId="46" xfId="0" applyNumberFormat="1" applyFont="1" applyFill="1" applyBorder="1" applyAlignment="1">
      <alignment horizontal="left"/>
    </xf>
    <xf numFmtId="0" fontId="7" fillId="10" borderId="25" xfId="0" applyFont="1" applyFill="1" applyBorder="1" applyAlignment="1">
      <alignment horizontal="left" vertical="center" wrapText="1"/>
    </xf>
    <xf numFmtId="0" fontId="7" fillId="10" borderId="3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4">
    <cellStyle name="Comma" xfId="1" builtinId="3"/>
    <cellStyle name="Normaallaad 2" xfId="2"/>
    <cellStyle name="Normal" xfId="0" builtinId="0"/>
    <cellStyle name="Percent" xfId="3" builtinId="5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eht1"/>
  <dimension ref="A1:E30"/>
  <sheetViews>
    <sheetView tabSelected="1" workbookViewId="0">
      <selection activeCell="E15" sqref="E15"/>
    </sheetView>
  </sheetViews>
  <sheetFormatPr defaultRowHeight="12.75" x14ac:dyDescent="0.2"/>
  <cols>
    <col min="1" max="1" width="69.5703125" customWidth="1"/>
    <col min="2" max="4" width="8.140625" style="4" customWidth="1"/>
    <col min="5" max="5" width="8.140625" style="2" customWidth="1"/>
  </cols>
  <sheetData>
    <row r="1" spans="1:5" x14ac:dyDescent="0.2">
      <c r="A1" s="5"/>
      <c r="B1" s="3" t="s">
        <v>63</v>
      </c>
      <c r="C1" s="3" t="s">
        <v>64</v>
      </c>
      <c r="D1" s="3" t="s">
        <v>65</v>
      </c>
      <c r="E1" s="2" t="s">
        <v>120</v>
      </c>
    </row>
    <row r="2" spans="1:5" x14ac:dyDescent="0.2">
      <c r="A2" s="5" t="s">
        <v>128</v>
      </c>
      <c r="B2" s="6" t="s">
        <v>258</v>
      </c>
      <c r="C2" s="6" t="s">
        <v>258</v>
      </c>
      <c r="D2" s="6" t="s">
        <v>258</v>
      </c>
      <c r="E2" s="6" t="s">
        <v>258</v>
      </c>
    </row>
    <row r="3" spans="1:5" x14ac:dyDescent="0.2">
      <c r="A3" s="5" t="s">
        <v>122</v>
      </c>
      <c r="B3" s="8"/>
      <c r="C3" s="8"/>
      <c r="D3" s="8"/>
      <c r="E3" s="8"/>
    </row>
    <row r="4" spans="1:5" x14ac:dyDescent="0.2">
      <c r="A4" s="5" t="s">
        <v>69</v>
      </c>
      <c r="B4" s="8"/>
      <c r="C4" s="8"/>
      <c r="D4" s="8"/>
      <c r="E4" s="8"/>
    </row>
    <row r="5" spans="1:5" x14ac:dyDescent="0.2">
      <c r="A5" s="5" t="s">
        <v>68</v>
      </c>
      <c r="B5" s="8"/>
      <c r="C5" s="8"/>
      <c r="D5" s="8"/>
      <c r="E5" s="8"/>
    </row>
    <row r="6" spans="1:5" s="12" customFormat="1" x14ac:dyDescent="0.2">
      <c r="A6" s="54" t="s">
        <v>183</v>
      </c>
      <c r="B6" s="8"/>
      <c r="C6" s="8"/>
      <c r="D6" s="8"/>
      <c r="E6" s="8"/>
    </row>
    <row r="7" spans="1:5" s="12" customFormat="1" x14ac:dyDescent="0.2">
      <c r="A7" s="9"/>
      <c r="B7" s="10"/>
      <c r="C7" s="10"/>
      <c r="D7" s="10"/>
      <c r="E7" s="11"/>
    </row>
    <row r="8" spans="1:5" s="5" customFormat="1" x14ac:dyDescent="0.2">
      <c r="B8" s="3"/>
      <c r="C8" s="3"/>
      <c r="D8" s="3"/>
    </row>
    <row r="9" spans="1:5" s="5" customFormat="1" x14ac:dyDescent="0.2">
      <c r="B9" s="13"/>
      <c r="C9" s="13"/>
      <c r="D9" s="13"/>
      <c r="E9" s="14"/>
    </row>
    <row r="10" spans="1:5" s="5" customFormat="1" x14ac:dyDescent="0.2">
      <c r="B10" s="3"/>
      <c r="C10" s="3"/>
      <c r="D10" s="3"/>
    </row>
    <row r="11" spans="1:5" ht="15" x14ac:dyDescent="0.2">
      <c r="A11" s="7" t="s">
        <v>116</v>
      </c>
      <c r="B11" s="3"/>
      <c r="C11" s="3"/>
      <c r="D11" s="3"/>
    </row>
    <row r="12" spans="1:5" x14ac:dyDescent="0.2">
      <c r="A12" t="s">
        <v>207</v>
      </c>
    </row>
    <row r="13" spans="1:5" ht="25.5" x14ac:dyDescent="0.2">
      <c r="A13" s="256" t="s">
        <v>245</v>
      </c>
    </row>
    <row r="14" spans="1:5" ht="38.25" x14ac:dyDescent="0.2">
      <c r="A14" s="256" t="s">
        <v>288</v>
      </c>
    </row>
    <row r="15" spans="1:5" ht="90" customHeight="1" x14ac:dyDescent="0.2">
      <c r="A15" s="256" t="s">
        <v>293</v>
      </c>
    </row>
    <row r="16" spans="1:5" ht="15" customHeight="1" x14ac:dyDescent="0.2">
      <c r="A16" t="s">
        <v>136</v>
      </c>
    </row>
    <row r="17" spans="1:1" ht="25.5" x14ac:dyDescent="0.2">
      <c r="A17" s="1" t="s">
        <v>162</v>
      </c>
    </row>
    <row r="18" spans="1:1" ht="25.5" x14ac:dyDescent="0.2">
      <c r="A18" s="256" t="s">
        <v>246</v>
      </c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</sheetData>
  <phoneticPr fontId="2" type="noConversion"/>
  <dataValidations count="2">
    <dataValidation type="textLength" allowBlank="1" showInputMessage="1" showErrorMessage="1" error="valik saab olla ainult &quot;jah&quot; või &quot;ei&quot;" promptTitle="Sisestada valikväärtus " sqref="B2:E2">
      <formula1>2</formula1>
      <formula2>3</formula2>
    </dataValidation>
    <dataValidation type="whole" allowBlank="1" showInputMessage="1" showErrorMessage="1" error="Summa saab olla ainult täisarv vahemikus 1-100" sqref="B3:E6">
      <formula1>1</formula1>
      <formula2>100</formula2>
    </dataValidation>
  </dataValidations>
  <pageMargins left="0.75" right="0.75" top="0.98425196850393704" bottom="0.98425196850393704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2"/>
  <dimension ref="A1:BV62"/>
  <sheetViews>
    <sheetView view="pageBreakPreview" zoomScaleNormal="100" zoomScaleSheetLayoutView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F1" sqref="F1"/>
    </sheetView>
  </sheetViews>
  <sheetFormatPr defaultRowHeight="11.25" x14ac:dyDescent="0.2"/>
  <cols>
    <col min="1" max="1" width="4.28515625" style="23" customWidth="1"/>
    <col min="2" max="2" width="15.42578125" style="23" customWidth="1"/>
    <col min="3" max="3" width="15" style="23" customWidth="1"/>
    <col min="4" max="4" width="21.42578125" style="44" bestFit="1" customWidth="1"/>
    <col min="5" max="5" width="7.42578125" style="52" customWidth="1"/>
    <col min="6" max="17" width="10" style="23" customWidth="1"/>
    <col min="18" max="18" width="10" style="45" customWidth="1"/>
    <col min="19" max="21" width="10" style="23" customWidth="1"/>
    <col min="22" max="22" width="9.140625" style="23"/>
    <col min="23" max="23" width="12.140625" style="23" customWidth="1"/>
    <col min="24" max="24" width="9" style="23" customWidth="1"/>
    <col min="25" max="25" width="9.85546875" style="23" customWidth="1"/>
    <col min="26" max="26" width="10.28515625" style="23" customWidth="1"/>
    <col min="27" max="27" width="9.5703125" style="23" customWidth="1"/>
    <col min="28" max="28" width="8.5703125" style="23" customWidth="1"/>
    <col min="29" max="29" width="9.42578125" style="23" customWidth="1"/>
    <col min="30" max="30" width="8.85546875" style="23" customWidth="1"/>
    <col min="31" max="31" width="8.5703125" style="23" customWidth="1"/>
    <col min="32" max="32" width="9.140625" style="23" customWidth="1"/>
    <col min="33" max="33" width="8.140625" style="23" customWidth="1"/>
    <col min="34" max="34" width="8.28515625" style="23" customWidth="1"/>
    <col min="35" max="35" width="10" style="23" customWidth="1"/>
    <col min="36" max="36" width="6" style="23" customWidth="1"/>
    <col min="37" max="39" width="5" style="23" customWidth="1"/>
    <col min="40" max="40" width="9.140625" style="23" customWidth="1"/>
    <col min="41" max="16384" width="9.140625" style="23"/>
  </cols>
  <sheetData>
    <row r="1" spans="1:74" ht="23.25" thickBot="1" x14ac:dyDescent="0.25">
      <c r="A1" s="15" t="s">
        <v>129</v>
      </c>
      <c r="B1" s="393" t="s">
        <v>168</v>
      </c>
      <c r="C1" s="394"/>
      <c r="D1" s="395"/>
      <c r="E1" s="46" t="s">
        <v>156</v>
      </c>
      <c r="F1" s="16">
        <f>Kassavood!B2</f>
        <v>44197</v>
      </c>
      <c r="G1" s="16">
        <f>Kassavood!C2</f>
        <v>44228</v>
      </c>
      <c r="H1" s="16">
        <f>Kassavood!D2</f>
        <v>44256</v>
      </c>
      <c r="I1" s="16">
        <f>Kassavood!E2</f>
        <v>44287</v>
      </c>
      <c r="J1" s="16">
        <f>Kassavood!F2</f>
        <v>44325</v>
      </c>
      <c r="K1" s="16">
        <f>Kassavood!G2</f>
        <v>44356</v>
      </c>
      <c r="L1" s="16">
        <f>Kassavood!H2</f>
        <v>44386</v>
      </c>
      <c r="M1" s="16">
        <f>Kassavood!I2</f>
        <v>44417</v>
      </c>
      <c r="N1" s="16">
        <f>Kassavood!J2</f>
        <v>44448</v>
      </c>
      <c r="O1" s="16">
        <f>Kassavood!K2</f>
        <v>44478</v>
      </c>
      <c r="P1" s="16">
        <f>Kassavood!L2</f>
        <v>44509</v>
      </c>
      <c r="Q1" s="16">
        <f>Kassavood!M2</f>
        <v>44539</v>
      </c>
      <c r="R1" s="17">
        <f>Kassavood!N2</f>
        <v>2021</v>
      </c>
      <c r="S1" s="18">
        <f>Kassavood!O2</f>
        <v>2022</v>
      </c>
      <c r="T1" s="18">
        <f>Kassavood!P2</f>
        <v>2023</v>
      </c>
      <c r="U1" s="18">
        <f>Kassavood!Q2</f>
        <v>2024</v>
      </c>
      <c r="V1" s="19"/>
      <c r="W1" s="20" t="s">
        <v>202</v>
      </c>
      <c r="X1" s="21">
        <f>Kassavood!B2</f>
        <v>44197</v>
      </c>
      <c r="Y1" s="21">
        <f>Kassavood!C2</f>
        <v>44228</v>
      </c>
      <c r="Z1" s="21">
        <f>Kassavood!D2</f>
        <v>44256</v>
      </c>
      <c r="AA1" s="21">
        <f>Kassavood!E2</f>
        <v>44287</v>
      </c>
      <c r="AB1" s="21">
        <f>Kassavood!F2</f>
        <v>44325</v>
      </c>
      <c r="AC1" s="21">
        <f>Kassavood!G2</f>
        <v>44356</v>
      </c>
      <c r="AD1" s="21">
        <f>Kassavood!H2</f>
        <v>44386</v>
      </c>
      <c r="AE1" s="21">
        <f>Kassavood!I2</f>
        <v>44417</v>
      </c>
      <c r="AF1" s="21">
        <f>Kassavood!J2</f>
        <v>44448</v>
      </c>
      <c r="AG1" s="21">
        <f>Kassavood!K2</f>
        <v>44478</v>
      </c>
      <c r="AH1" s="21">
        <f>Kassavood!L2</f>
        <v>44509</v>
      </c>
      <c r="AI1" s="21">
        <f>Kassavood!M2</f>
        <v>44539</v>
      </c>
      <c r="AJ1" s="22">
        <f>Kassavood!N2</f>
        <v>2021</v>
      </c>
      <c r="AK1" s="22">
        <f>Kassavood!O2</f>
        <v>2022</v>
      </c>
      <c r="AL1" s="22">
        <f>Kassavood!P2</f>
        <v>2023</v>
      </c>
      <c r="AM1" s="22">
        <f>Kassavood!Q2</f>
        <v>2024</v>
      </c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</row>
    <row r="2" spans="1:74" hidden="1" x14ac:dyDescent="0.2">
      <c r="A2" s="24"/>
      <c r="B2" s="24" t="s">
        <v>133</v>
      </c>
      <c r="C2" s="24"/>
      <c r="D2" s="25"/>
      <c r="E2" s="47">
        <f t="shared" ref="E2:Q2" si="0">E12+E17+E22+E27+E32+E37+E42+E47+E52+E57</f>
        <v>67</v>
      </c>
      <c r="F2" s="26">
        <f t="shared" si="0"/>
        <v>0</v>
      </c>
      <c r="G2" s="26">
        <f t="shared" si="0"/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26">
        <f t="shared" si="0"/>
        <v>0</v>
      </c>
      <c r="N2" s="26">
        <f t="shared" si="0"/>
        <v>0</v>
      </c>
      <c r="O2" s="26">
        <f t="shared" si="0"/>
        <v>0</v>
      </c>
      <c r="P2" s="26">
        <f t="shared" si="0"/>
        <v>0</v>
      </c>
      <c r="Q2" s="26">
        <f t="shared" si="0"/>
        <v>0</v>
      </c>
      <c r="R2" s="27">
        <f>SUM(F2:Q2)</f>
        <v>0</v>
      </c>
      <c r="S2" s="26">
        <f>S12+S17+S22+S27+S32+S37+S42+S47+S52+S57</f>
        <v>0</v>
      </c>
      <c r="T2" s="26">
        <f>T12+T17+T22+T27+T32+T37+T42+T47+T52+T57</f>
        <v>0</v>
      </c>
      <c r="U2" s="26">
        <f>U12+U17+U22+U27+U32+U37+U42+U47+U52+U57</f>
        <v>0</v>
      </c>
      <c r="W2" s="23">
        <f>IF($B16=9%,E16-E16*E13,0)</f>
        <v>0</v>
      </c>
      <c r="X2" s="23">
        <f t="shared" ref="X2:AI2" si="1">IF($B16=9%,F16-F16*F13,0)</f>
        <v>0</v>
      </c>
      <c r="Y2" s="23">
        <f t="shared" si="1"/>
        <v>0</v>
      </c>
      <c r="Z2" s="23">
        <f t="shared" si="1"/>
        <v>0</v>
      </c>
      <c r="AA2" s="23">
        <f t="shared" si="1"/>
        <v>0</v>
      </c>
      <c r="AB2" s="23">
        <f t="shared" si="1"/>
        <v>0</v>
      </c>
      <c r="AC2" s="23">
        <f t="shared" si="1"/>
        <v>0</v>
      </c>
      <c r="AD2" s="23">
        <f t="shared" si="1"/>
        <v>0</v>
      </c>
      <c r="AE2" s="23">
        <f t="shared" si="1"/>
        <v>0</v>
      </c>
      <c r="AF2" s="23">
        <f t="shared" si="1"/>
        <v>0</v>
      </c>
      <c r="AG2" s="23">
        <f t="shared" si="1"/>
        <v>0</v>
      </c>
      <c r="AH2" s="23">
        <f t="shared" si="1"/>
        <v>0</v>
      </c>
      <c r="AI2" s="23">
        <f t="shared" si="1"/>
        <v>0</v>
      </c>
      <c r="AJ2" s="23">
        <f>SUM(X2:AI2)</f>
        <v>0</v>
      </c>
      <c r="AK2" s="23">
        <f>IF($B16=9%,S16-S16*S13,0)</f>
        <v>0</v>
      </c>
      <c r="AL2" s="23">
        <f>IF(Q16=9%,T16-T16*T13,0)</f>
        <v>0</v>
      </c>
      <c r="AM2" s="23">
        <f>IF(R16=9%,U16-U16*U13,0)</f>
        <v>0</v>
      </c>
    </row>
    <row r="3" spans="1:74" hidden="1" x14ac:dyDescent="0.2">
      <c r="A3" s="24"/>
      <c r="B3" s="24" t="s">
        <v>139</v>
      </c>
      <c r="C3" s="24"/>
      <c r="D3" s="25"/>
      <c r="E3" s="47">
        <f t="shared" ref="E3:Q3" si="2">E16+E21+E26+E31+E36+E41+E46+E51+E56+E61</f>
        <v>77500</v>
      </c>
      <c r="F3" s="26">
        <f t="shared" si="2"/>
        <v>0</v>
      </c>
      <c r="G3" s="26">
        <f t="shared" si="2"/>
        <v>0</v>
      </c>
      <c r="H3" s="26">
        <f t="shared" si="2"/>
        <v>0</v>
      </c>
      <c r="I3" s="26">
        <f t="shared" si="2"/>
        <v>0</v>
      </c>
      <c r="J3" s="26">
        <f t="shared" si="2"/>
        <v>0</v>
      </c>
      <c r="K3" s="26">
        <f t="shared" si="2"/>
        <v>0</v>
      </c>
      <c r="L3" s="26">
        <f t="shared" si="2"/>
        <v>0</v>
      </c>
      <c r="M3" s="26">
        <f t="shared" si="2"/>
        <v>0</v>
      </c>
      <c r="N3" s="26">
        <f t="shared" si="2"/>
        <v>0</v>
      </c>
      <c r="O3" s="26">
        <f t="shared" si="2"/>
        <v>0</v>
      </c>
      <c r="P3" s="26">
        <f t="shared" si="2"/>
        <v>0</v>
      </c>
      <c r="Q3" s="26">
        <f t="shared" si="2"/>
        <v>0</v>
      </c>
      <c r="R3" s="27">
        <f>SUM(F3:Q3)</f>
        <v>0</v>
      </c>
      <c r="S3" s="26">
        <f>S16+S21+S26+S31+S36+S41+S46+S51+S56+S61</f>
        <v>0</v>
      </c>
      <c r="T3" s="26">
        <f>T16+T21+T26+T31+T36+T41+T46+T51+T56+T61</f>
        <v>0</v>
      </c>
      <c r="U3" s="26">
        <f>U16+U21+U26+U31+U36+U41+U46+U51+U56+U61</f>
        <v>0</v>
      </c>
      <c r="W3" s="23">
        <f>IF($B21=9%,E21-E21*E18,0)</f>
        <v>0</v>
      </c>
      <c r="X3" s="23">
        <f t="shared" ref="X3:AI3" si="3">IF($B21=9%,F21-F21*F18,0)</f>
        <v>0</v>
      </c>
      <c r="Y3" s="23">
        <f t="shared" si="3"/>
        <v>0</v>
      </c>
      <c r="Z3" s="23">
        <f t="shared" si="3"/>
        <v>0</v>
      </c>
      <c r="AA3" s="23">
        <f t="shared" si="3"/>
        <v>0</v>
      </c>
      <c r="AB3" s="23">
        <f t="shared" si="3"/>
        <v>0</v>
      </c>
      <c r="AC3" s="23">
        <f t="shared" si="3"/>
        <v>0</v>
      </c>
      <c r="AD3" s="23">
        <f t="shared" si="3"/>
        <v>0</v>
      </c>
      <c r="AE3" s="23">
        <f t="shared" si="3"/>
        <v>0</v>
      </c>
      <c r="AF3" s="23">
        <f t="shared" si="3"/>
        <v>0</v>
      </c>
      <c r="AG3" s="23">
        <f t="shared" si="3"/>
        <v>0</v>
      </c>
      <c r="AH3" s="23">
        <f t="shared" si="3"/>
        <v>0</v>
      </c>
      <c r="AI3" s="23">
        <f t="shared" si="3"/>
        <v>0</v>
      </c>
      <c r="AJ3" s="23">
        <f t="shared" ref="AJ3:AJ11" si="4">SUM(X3:AI3)</f>
        <v>0</v>
      </c>
      <c r="AK3" s="23">
        <f>IF($B21=9%,S21-S21*S18,0)</f>
        <v>0</v>
      </c>
      <c r="AL3" s="23">
        <f>IF($B21=9%,T21-T21*T18,0)</f>
        <v>0</v>
      </c>
      <c r="AM3" s="23">
        <f>IF($B21=9%,U21-U21*U18,0)</f>
        <v>0</v>
      </c>
    </row>
    <row r="4" spans="1:74" hidden="1" x14ac:dyDescent="0.2">
      <c r="A4" s="24"/>
      <c r="B4" s="24" t="s">
        <v>134</v>
      </c>
      <c r="C4" s="24"/>
      <c r="D4" s="25"/>
      <c r="E4" s="47">
        <f>ROUND(E3/E2,0)</f>
        <v>1157</v>
      </c>
      <c r="F4" s="26">
        <f>IF(F2&gt;0,ROUND(F3/F2,0),0)</f>
        <v>0</v>
      </c>
      <c r="G4" s="26">
        <f t="shared" ref="G4:P4" si="5">IF(G2&gt;0,ROUND(G3/G2,0),0)</f>
        <v>0</v>
      </c>
      <c r="H4" s="26">
        <f t="shared" si="5"/>
        <v>0</v>
      </c>
      <c r="I4" s="26">
        <f t="shared" si="5"/>
        <v>0</v>
      </c>
      <c r="J4" s="26">
        <f t="shared" si="5"/>
        <v>0</v>
      </c>
      <c r="K4" s="26">
        <f t="shared" si="5"/>
        <v>0</v>
      </c>
      <c r="L4" s="26">
        <f t="shared" si="5"/>
        <v>0</v>
      </c>
      <c r="M4" s="26">
        <f t="shared" si="5"/>
        <v>0</v>
      </c>
      <c r="N4" s="26">
        <f t="shared" si="5"/>
        <v>0</v>
      </c>
      <c r="O4" s="26">
        <f t="shared" si="5"/>
        <v>0</v>
      </c>
      <c r="P4" s="26">
        <f t="shared" si="5"/>
        <v>0</v>
      </c>
      <c r="Q4" s="26">
        <f>IF(Q2&gt;0,ROUND(Q3/Q2,0),0)</f>
        <v>0</v>
      </c>
      <c r="R4" s="27">
        <f>IF(R2&gt;0,ROUND(R3/R2,0),0)</f>
        <v>0</v>
      </c>
      <c r="S4" s="26">
        <f>IF(S2&gt;0,ROUND(S3/S2,0),0)</f>
        <v>0</v>
      </c>
      <c r="T4" s="26">
        <f>IF(T2&gt;0,ROUND(T3/T2,0),0)</f>
        <v>0</v>
      </c>
      <c r="U4" s="26">
        <f>IF(U2&gt;0,ROUND(U3/U2,0),0)</f>
        <v>0</v>
      </c>
      <c r="W4" s="23">
        <f>IF($B26=9%,E26-E26*E23,0)</f>
        <v>7000</v>
      </c>
      <c r="X4" s="23">
        <f>IF($B26=9%,F26-F26*F23,0)</f>
        <v>0</v>
      </c>
      <c r="Y4" s="23">
        <f t="shared" ref="Y4:AI4" si="6">IF($B26=9%,G26-G26*G23,0)</f>
        <v>0</v>
      </c>
      <c r="Z4" s="23">
        <f t="shared" si="6"/>
        <v>0</v>
      </c>
      <c r="AA4" s="23">
        <f t="shared" si="6"/>
        <v>0</v>
      </c>
      <c r="AB4" s="23">
        <f t="shared" si="6"/>
        <v>0</v>
      </c>
      <c r="AC4" s="23">
        <f t="shared" si="6"/>
        <v>0</v>
      </c>
      <c r="AD4" s="23">
        <f t="shared" si="6"/>
        <v>0</v>
      </c>
      <c r="AE4" s="23">
        <f t="shared" si="6"/>
        <v>0</v>
      </c>
      <c r="AF4" s="23">
        <f t="shared" si="6"/>
        <v>0</v>
      </c>
      <c r="AG4" s="23">
        <f t="shared" si="6"/>
        <v>0</v>
      </c>
      <c r="AH4" s="23">
        <f t="shared" si="6"/>
        <v>0</v>
      </c>
      <c r="AI4" s="23">
        <f t="shared" si="6"/>
        <v>0</v>
      </c>
      <c r="AJ4" s="23">
        <f t="shared" si="4"/>
        <v>0</v>
      </c>
      <c r="AK4" s="23">
        <f>IF($B26=9%,S26-S26*S23,0)</f>
        <v>0</v>
      </c>
      <c r="AL4" s="23">
        <f>IF($B26=9%,T26-T26*T23,0)</f>
        <v>0</v>
      </c>
      <c r="AM4" s="23">
        <f>IF($B26=9%,U26-U26*U23,0)</f>
        <v>0</v>
      </c>
    </row>
    <row r="5" spans="1:74" hidden="1" x14ac:dyDescent="0.2">
      <c r="A5" s="24"/>
      <c r="B5" s="24" t="s">
        <v>149</v>
      </c>
      <c r="C5" s="24"/>
      <c r="D5" s="25"/>
      <c r="E5" s="47">
        <f>E12*E15+E17*E20+E22*E25+E27*E30+E32*E35+E37*E40+E42*E45+E47*E50+E52*E55+E57*E60</f>
        <v>37900</v>
      </c>
      <c r="F5" s="26">
        <f t="shared" ref="F5:L5" si="7">ROUND(F12*F15+F17*F20+F22*F25+F27*F30+F32*F35+F37*F40+F42*F45+F47*F50+F52*F55+F57*F60,0)</f>
        <v>0</v>
      </c>
      <c r="G5" s="26">
        <f t="shared" si="7"/>
        <v>0</v>
      </c>
      <c r="H5" s="26">
        <f t="shared" si="7"/>
        <v>0</v>
      </c>
      <c r="I5" s="26">
        <f t="shared" si="7"/>
        <v>0</v>
      </c>
      <c r="J5" s="26">
        <f t="shared" si="7"/>
        <v>0</v>
      </c>
      <c r="K5" s="26">
        <f t="shared" si="7"/>
        <v>0</v>
      </c>
      <c r="L5" s="26">
        <f t="shared" si="7"/>
        <v>0</v>
      </c>
      <c r="M5" s="26">
        <f>ROUND(M12*M15+M17*M20+M22*M25+M27*M30+M32*M35+M37*M40+M42*M45+M47*M50+M52*M55+M57*M60,0)</f>
        <v>0</v>
      </c>
      <c r="N5" s="26">
        <f>ROUND(N12*N15+N17*N20+N22*N25+N27*N30+N32*N35+N37*N40+N42*N45+N47*N50+N52*N55+N57*N60,0)</f>
        <v>0</v>
      </c>
      <c r="O5" s="26">
        <f>ROUND(O12*O15+O17*O20+O22*O25+O27*O30+O32*O35+O37*O40+O42*O45+O47*O50+O52*O55+O57*O60,0)</f>
        <v>0</v>
      </c>
      <c r="P5" s="26">
        <f>ROUND(P12*P15+P17*P20+P22*P25+P27*P30+P32*P35+P37*P40+P42*P45+P47*P50+P52*P55+P57*P60,0)</f>
        <v>0</v>
      </c>
      <c r="Q5" s="26">
        <f>ROUND(Q12*Q15+Q17*Q20+Q22*Q25+Q27*Q30+Q32*Q35+Q37*Q40+Q42*Q45+Q47*Q50+Q52*Q55+Q57*Q60,0)</f>
        <v>0</v>
      </c>
      <c r="R5" s="27">
        <f>SUM(F5:Q5)</f>
        <v>0</v>
      </c>
      <c r="S5" s="26">
        <f>ROUND(S12*S15+S17*S20+S22*S25+S27*S30+S32*S35+S37*S40+S42*S45+S47*S50+S52*S55+S57*S60,0)</f>
        <v>0</v>
      </c>
      <c r="T5" s="26">
        <f>T12*T15+T17*T20+T22*T25+T27*T30+T32*T35+T37*T40+T42*T45+T47*T50+T52*T55+T57*T60</f>
        <v>0</v>
      </c>
      <c r="U5" s="26">
        <f>U12*U15+U17*U20+U22*U25+U27*U30+U32*U35+U37*U40+U42*U45+U47*U50+U52*U55+U57*U60</f>
        <v>0</v>
      </c>
      <c r="W5" s="23">
        <f>IF($B31=9%,E31-E31*E28,0)</f>
        <v>0</v>
      </c>
      <c r="X5" s="23">
        <f t="shared" ref="X5:AI5" si="8">IF($B31=9%,F31-F31*F28,0)</f>
        <v>0</v>
      </c>
      <c r="Y5" s="23">
        <f t="shared" si="8"/>
        <v>0</v>
      </c>
      <c r="Z5" s="23">
        <f t="shared" si="8"/>
        <v>0</v>
      </c>
      <c r="AA5" s="23">
        <f t="shared" si="8"/>
        <v>0</v>
      </c>
      <c r="AB5" s="23">
        <f t="shared" si="8"/>
        <v>0</v>
      </c>
      <c r="AC5" s="23">
        <f t="shared" si="8"/>
        <v>0</v>
      </c>
      <c r="AD5" s="23">
        <f t="shared" si="8"/>
        <v>0</v>
      </c>
      <c r="AE5" s="23">
        <f t="shared" si="8"/>
        <v>0</v>
      </c>
      <c r="AF5" s="23">
        <f t="shared" si="8"/>
        <v>0</v>
      </c>
      <c r="AG5" s="23">
        <f t="shared" si="8"/>
        <v>0</v>
      </c>
      <c r="AH5" s="23">
        <f t="shared" si="8"/>
        <v>0</v>
      </c>
      <c r="AI5" s="23">
        <f t="shared" si="8"/>
        <v>0</v>
      </c>
      <c r="AJ5" s="23">
        <f t="shared" si="4"/>
        <v>0</v>
      </c>
      <c r="AK5" s="23">
        <f>IF($B31=9%,S31-S31*S28,0)</f>
        <v>0</v>
      </c>
      <c r="AL5" s="23">
        <f>IF($B31=9%,T31-T31*T28,0)</f>
        <v>0</v>
      </c>
      <c r="AM5" s="23">
        <f>IF($B31=9%,U31-U31*U28,0)</f>
        <v>0</v>
      </c>
    </row>
    <row r="6" spans="1:74" hidden="1" x14ac:dyDescent="0.2">
      <c r="A6" s="24"/>
      <c r="B6" s="24" t="s">
        <v>150</v>
      </c>
      <c r="C6" s="24"/>
      <c r="D6" s="25"/>
      <c r="E6" s="47">
        <f>E12*E15*$C16+E17*E20*$C21+E22*E25*$C26+E27*E30*$C31+E32*E35*$C36+E37*E40*$C41+E42*E45*$C46+E47*E50*$C51+E52*E55*$C56+E57*E60*$C61</f>
        <v>3790</v>
      </c>
      <c r="F6" s="26">
        <f>ROUND(F12*F15*$C16+F17*F20*$C21+F22*F25*$C26+F27*F30*$C31+F32*F35*$C36+F37*F40*$C41+F42*F45*$C46+F47*F50*$C51+F52*F55*$C56+F57*F60*$C61,0)</f>
        <v>0</v>
      </c>
      <c r="G6" s="26">
        <f t="shared" ref="G6:Q6" si="9">ROUND(G12*G15*$C16+G17*G20*$C21+G22*G25*$C26+G27*G30*$C31+G32*G35*$C36+G37*G40*$C41+G42*G45*$C46+G47*G50*$C51+G52*G55*$C56+G57*G60*$C61,0)</f>
        <v>0</v>
      </c>
      <c r="H6" s="26">
        <f t="shared" si="9"/>
        <v>0</v>
      </c>
      <c r="I6" s="26">
        <f t="shared" si="9"/>
        <v>0</v>
      </c>
      <c r="J6" s="26">
        <f t="shared" si="9"/>
        <v>0</v>
      </c>
      <c r="K6" s="26">
        <f t="shared" si="9"/>
        <v>0</v>
      </c>
      <c r="L6" s="26">
        <f t="shared" si="9"/>
        <v>0</v>
      </c>
      <c r="M6" s="26">
        <f t="shared" si="9"/>
        <v>0</v>
      </c>
      <c r="N6" s="26">
        <f t="shared" si="9"/>
        <v>0</v>
      </c>
      <c r="O6" s="26">
        <f t="shared" si="9"/>
        <v>0</v>
      </c>
      <c r="P6" s="26">
        <f t="shared" si="9"/>
        <v>0</v>
      </c>
      <c r="Q6" s="26">
        <f t="shared" si="9"/>
        <v>0</v>
      </c>
      <c r="R6" s="26"/>
      <c r="S6" s="26">
        <f>(ROUND(S12*S15*$C16+S17*S20*$C21+S22*S25*$C26+S27*S30*$C31+S32*S35*$C36+S37*S40*$C41+S42*S45*$C46+S47*S50*$C51+S52*S55*$C56+S57*S60*$C61,0))/12</f>
        <v>0</v>
      </c>
      <c r="T6" s="26">
        <f>(ROUND(T12*T15*$C16+T17*T20*$C21+T22*T25*$C26+T27*T30*$C31+T32*T35*$C36+T37*T40*$C41+T42*T45*$C46+T47*T50*$C51+T52*T55*$C56+T57*T60*$C61,0))/12</f>
        <v>0</v>
      </c>
      <c r="U6" s="26">
        <f>(ROUND(U12*U15*$C16+U17*U20*$C21+U22*U25*$C26+U27*U30*$C31+U32*U35*$C36+U37*U40*$C41+U42*U45*$C46+U47*U50*$C51+U52*U55*$C56+U57*U60*$C61,0))/12</f>
        <v>0</v>
      </c>
      <c r="W6" s="23">
        <f>IF($B36=9%,E36-E36*E33,0)</f>
        <v>0</v>
      </c>
      <c r="X6" s="23">
        <f t="shared" ref="X6:AI6" si="10">IF($B36=9%,F36-F36*F33,0)</f>
        <v>0</v>
      </c>
      <c r="Y6" s="23">
        <f t="shared" si="10"/>
        <v>0</v>
      </c>
      <c r="Z6" s="23">
        <f t="shared" si="10"/>
        <v>0</v>
      </c>
      <c r="AA6" s="23">
        <f t="shared" si="10"/>
        <v>0</v>
      </c>
      <c r="AB6" s="23">
        <f t="shared" si="10"/>
        <v>0</v>
      </c>
      <c r="AC6" s="23">
        <f t="shared" si="10"/>
        <v>0</v>
      </c>
      <c r="AD6" s="23">
        <f t="shared" si="10"/>
        <v>0</v>
      </c>
      <c r="AE6" s="23">
        <f t="shared" si="10"/>
        <v>0</v>
      </c>
      <c r="AF6" s="23">
        <f t="shared" si="10"/>
        <v>0</v>
      </c>
      <c r="AG6" s="23">
        <f t="shared" si="10"/>
        <v>0</v>
      </c>
      <c r="AH6" s="23">
        <f t="shared" si="10"/>
        <v>0</v>
      </c>
      <c r="AI6" s="23">
        <f t="shared" si="10"/>
        <v>0</v>
      </c>
      <c r="AJ6" s="23">
        <f t="shared" si="4"/>
        <v>0</v>
      </c>
      <c r="AK6" s="23">
        <f>IF($B36=9%,S36-S36*S33,0)</f>
        <v>0</v>
      </c>
      <c r="AL6" s="23">
        <f>IF($B36=9%,T36-T36*T33,0)</f>
        <v>0</v>
      </c>
      <c r="AM6" s="23">
        <f>IF($B36=9%,U36-U36*U33,0)</f>
        <v>0</v>
      </c>
    </row>
    <row r="7" spans="1:74" hidden="1" x14ac:dyDescent="0.2">
      <c r="A7" s="24"/>
      <c r="B7" s="24" t="s">
        <v>151</v>
      </c>
      <c r="C7" s="24"/>
      <c r="D7" s="25"/>
      <c r="E7" s="47">
        <f>E6</f>
        <v>3790</v>
      </c>
      <c r="F7" s="26">
        <f>F6</f>
        <v>0</v>
      </c>
      <c r="G7" s="26">
        <f t="shared" ref="G7:Q7" si="11">G6</f>
        <v>0</v>
      </c>
      <c r="H7" s="26">
        <f t="shared" si="11"/>
        <v>0</v>
      </c>
      <c r="I7" s="26">
        <f t="shared" si="11"/>
        <v>0</v>
      </c>
      <c r="J7" s="26">
        <f t="shared" si="11"/>
        <v>0</v>
      </c>
      <c r="K7" s="26">
        <f t="shared" si="11"/>
        <v>0</v>
      </c>
      <c r="L7" s="26">
        <f t="shared" si="11"/>
        <v>0</v>
      </c>
      <c r="M7" s="26">
        <f t="shared" si="11"/>
        <v>0</v>
      </c>
      <c r="N7" s="26">
        <f t="shared" si="11"/>
        <v>0</v>
      </c>
      <c r="O7" s="26">
        <f t="shared" si="11"/>
        <v>0</v>
      </c>
      <c r="P7" s="26">
        <f t="shared" si="11"/>
        <v>0</v>
      </c>
      <c r="Q7" s="26">
        <f t="shared" si="11"/>
        <v>0</v>
      </c>
      <c r="R7" s="27">
        <f>Q7</f>
        <v>0</v>
      </c>
      <c r="S7" s="26">
        <f>S6</f>
        <v>0</v>
      </c>
      <c r="T7" s="26">
        <f>T6</f>
        <v>0</v>
      </c>
      <c r="U7" s="26">
        <f>U6</f>
        <v>0</v>
      </c>
      <c r="W7" s="23">
        <f>IF($B41=9%,E41-E41*E38,0)</f>
        <v>0</v>
      </c>
      <c r="X7" s="23">
        <f t="shared" ref="X7:AI7" si="12">IF($B41=9%,F41-F41*F38,0)</f>
        <v>0</v>
      </c>
      <c r="Y7" s="23">
        <f t="shared" si="12"/>
        <v>0</v>
      </c>
      <c r="Z7" s="23">
        <f t="shared" si="12"/>
        <v>0</v>
      </c>
      <c r="AA7" s="23">
        <f t="shared" si="12"/>
        <v>0</v>
      </c>
      <c r="AB7" s="23">
        <f t="shared" si="12"/>
        <v>0</v>
      </c>
      <c r="AC7" s="23">
        <f t="shared" si="12"/>
        <v>0</v>
      </c>
      <c r="AD7" s="23">
        <f t="shared" si="12"/>
        <v>0</v>
      </c>
      <c r="AE7" s="23">
        <f t="shared" si="12"/>
        <v>0</v>
      </c>
      <c r="AF7" s="23">
        <f t="shared" si="12"/>
        <v>0</v>
      </c>
      <c r="AG7" s="23">
        <f t="shared" si="12"/>
        <v>0</v>
      </c>
      <c r="AH7" s="23">
        <f t="shared" si="12"/>
        <v>0</v>
      </c>
      <c r="AI7" s="23">
        <f t="shared" si="12"/>
        <v>0</v>
      </c>
      <c r="AJ7" s="23">
        <f t="shared" si="4"/>
        <v>0</v>
      </c>
      <c r="AK7" s="23">
        <f>IF($B41=9%,S41-S41*S38,0)</f>
        <v>0</v>
      </c>
      <c r="AL7" s="23">
        <f>IF($B41=9%,T41-T41*T38,0)</f>
        <v>0</v>
      </c>
      <c r="AM7" s="23">
        <f>IF($B41=9%,U41-U41*U38,0)</f>
        <v>0</v>
      </c>
    </row>
    <row r="8" spans="1:74" s="19" customFormat="1" hidden="1" x14ac:dyDescent="0.2">
      <c r="A8" s="24"/>
      <c r="B8" s="24" t="s">
        <v>148</v>
      </c>
      <c r="C8" s="24"/>
      <c r="D8" s="25"/>
      <c r="E8" s="47">
        <f>E5+E6</f>
        <v>41690</v>
      </c>
      <c r="F8" s="26">
        <f>F5+F6</f>
        <v>0</v>
      </c>
      <c r="G8" s="26">
        <f>G5+G6-F7</f>
        <v>0</v>
      </c>
      <c r="H8" s="26">
        <f t="shared" ref="H8:Q8" si="13">H5+H6-G7</f>
        <v>0</v>
      </c>
      <c r="I8" s="26">
        <f t="shared" si="13"/>
        <v>0</v>
      </c>
      <c r="J8" s="26">
        <f t="shared" si="13"/>
        <v>0</v>
      </c>
      <c r="K8" s="26">
        <f t="shared" si="13"/>
        <v>0</v>
      </c>
      <c r="L8" s="26">
        <f t="shared" si="13"/>
        <v>0</v>
      </c>
      <c r="M8" s="26">
        <f t="shared" si="13"/>
        <v>0</v>
      </c>
      <c r="N8" s="26">
        <f t="shared" si="13"/>
        <v>0</v>
      </c>
      <c r="O8" s="26">
        <f t="shared" si="13"/>
        <v>0</v>
      </c>
      <c r="P8" s="26">
        <f t="shared" si="13"/>
        <v>0</v>
      </c>
      <c r="Q8" s="26">
        <f t="shared" si="13"/>
        <v>0</v>
      </c>
      <c r="R8" s="27">
        <f>SUM(F8:Q8)</f>
        <v>0</v>
      </c>
      <c r="S8" s="26">
        <f>S5+S6-Q7</f>
        <v>0</v>
      </c>
      <c r="T8" s="26">
        <f>T5+T6-S7</f>
        <v>0</v>
      </c>
      <c r="U8" s="26">
        <f>U5+U6-T7</f>
        <v>0</v>
      </c>
      <c r="W8" s="23">
        <f>IF($B46=9%,E46-E46*E43,0)</f>
        <v>0</v>
      </c>
      <c r="X8" s="23">
        <f t="shared" ref="X8:AI8" si="14">IF($B46=9%,F46-F46*F43,0)</f>
        <v>0</v>
      </c>
      <c r="Y8" s="23">
        <f t="shared" si="14"/>
        <v>0</v>
      </c>
      <c r="Z8" s="23">
        <f t="shared" si="14"/>
        <v>0</v>
      </c>
      <c r="AA8" s="23">
        <f t="shared" si="14"/>
        <v>0</v>
      </c>
      <c r="AB8" s="23">
        <f t="shared" si="14"/>
        <v>0</v>
      </c>
      <c r="AC8" s="23">
        <f t="shared" si="14"/>
        <v>0</v>
      </c>
      <c r="AD8" s="23">
        <f t="shared" si="14"/>
        <v>0</v>
      </c>
      <c r="AE8" s="23">
        <f t="shared" si="14"/>
        <v>0</v>
      </c>
      <c r="AF8" s="23">
        <f t="shared" si="14"/>
        <v>0</v>
      </c>
      <c r="AG8" s="23">
        <f t="shared" si="14"/>
        <v>0</v>
      </c>
      <c r="AH8" s="23">
        <f t="shared" si="14"/>
        <v>0</v>
      </c>
      <c r="AI8" s="23">
        <f t="shared" si="14"/>
        <v>0</v>
      </c>
      <c r="AJ8" s="23">
        <f t="shared" si="4"/>
        <v>0</v>
      </c>
      <c r="AK8" s="23">
        <f>IF($B46=9%,S46-S46*S43,0)</f>
        <v>0</v>
      </c>
      <c r="AL8" s="23">
        <f>IF($B46=9%,T46-T46*T43,0)</f>
        <v>0</v>
      </c>
      <c r="AM8" s="23">
        <f>IF($B46=9%,U46-U46*U43,0)</f>
        <v>0</v>
      </c>
    </row>
    <row r="9" spans="1:74" s="19" customFormat="1" hidden="1" x14ac:dyDescent="0.2">
      <c r="A9" s="24"/>
      <c r="B9" s="24" t="s">
        <v>200</v>
      </c>
      <c r="C9" s="24"/>
      <c r="D9" s="25"/>
      <c r="E9" s="47">
        <f>SUM(W2:W11)</f>
        <v>7000</v>
      </c>
      <c r="F9" s="26">
        <f>SUM(X2:X11)</f>
        <v>0</v>
      </c>
      <c r="G9" s="26">
        <f t="shared" ref="G9:S9" si="15">SUM(Y2:Y11)</f>
        <v>0</v>
      </c>
      <c r="H9" s="26">
        <f t="shared" si="15"/>
        <v>0</v>
      </c>
      <c r="I9" s="26">
        <f t="shared" si="15"/>
        <v>0</v>
      </c>
      <c r="J9" s="26">
        <f t="shared" si="15"/>
        <v>0</v>
      </c>
      <c r="K9" s="26">
        <f t="shared" si="15"/>
        <v>0</v>
      </c>
      <c r="L9" s="26">
        <f t="shared" si="15"/>
        <v>0</v>
      </c>
      <c r="M9" s="26">
        <f t="shared" si="15"/>
        <v>0</v>
      </c>
      <c r="N9" s="26">
        <f t="shared" si="15"/>
        <v>0</v>
      </c>
      <c r="O9" s="26">
        <f t="shared" si="15"/>
        <v>0</v>
      </c>
      <c r="P9" s="26">
        <f t="shared" si="15"/>
        <v>0</v>
      </c>
      <c r="Q9" s="26">
        <f t="shared" si="15"/>
        <v>0</v>
      </c>
      <c r="R9" s="27">
        <f>SUM(F9:Q9)</f>
        <v>0</v>
      </c>
      <c r="S9" s="26">
        <f t="shared" si="15"/>
        <v>0</v>
      </c>
      <c r="T9" s="26">
        <f>SUM(AL2:AL11)</f>
        <v>0</v>
      </c>
      <c r="U9" s="26">
        <f>SUM(AM2:AM11)</f>
        <v>0</v>
      </c>
      <c r="W9" s="19">
        <f>IF($B51=9%,E51-E51*E48,0)</f>
        <v>0</v>
      </c>
      <c r="X9" s="19">
        <f t="shared" ref="X9:AI9" si="16">IF($B51=9%,F51-F51*F48,0)</f>
        <v>0</v>
      </c>
      <c r="Y9" s="19">
        <f t="shared" si="16"/>
        <v>0</v>
      </c>
      <c r="Z9" s="19">
        <f t="shared" si="16"/>
        <v>0</v>
      </c>
      <c r="AA9" s="19">
        <f t="shared" si="16"/>
        <v>0</v>
      </c>
      <c r="AB9" s="19">
        <f t="shared" si="16"/>
        <v>0</v>
      </c>
      <c r="AC9" s="19">
        <f t="shared" si="16"/>
        <v>0</v>
      </c>
      <c r="AD9" s="19">
        <f t="shared" si="16"/>
        <v>0</v>
      </c>
      <c r="AE9" s="19">
        <f t="shared" si="16"/>
        <v>0</v>
      </c>
      <c r="AF9" s="19">
        <f t="shared" si="16"/>
        <v>0</v>
      </c>
      <c r="AG9" s="19">
        <f t="shared" si="16"/>
        <v>0</v>
      </c>
      <c r="AH9" s="19">
        <f t="shared" si="16"/>
        <v>0</v>
      </c>
      <c r="AI9" s="19">
        <f t="shared" si="16"/>
        <v>0</v>
      </c>
      <c r="AJ9" s="23">
        <f t="shared" si="4"/>
        <v>0</v>
      </c>
      <c r="AK9" s="19">
        <f>IF($B51=9%,S51-S51*S48,0)</f>
        <v>0</v>
      </c>
      <c r="AL9" s="19">
        <f>IF($B51=9%,T51-T51*T48,0)</f>
        <v>0</v>
      </c>
      <c r="AM9" s="19">
        <f>IF($B51=9%,U51-U51*U48,0)</f>
        <v>0</v>
      </c>
    </row>
    <row r="10" spans="1:74" s="19" customFormat="1" hidden="1" x14ac:dyDescent="0.2">
      <c r="A10" s="24"/>
      <c r="B10" s="24" t="s">
        <v>152</v>
      </c>
      <c r="C10" s="24"/>
      <c r="D10" s="25"/>
      <c r="E10" s="47">
        <f t="shared" ref="E10:Q10" si="17">E13*E16+E18*E21+E23*E26+E28*E31+E33*E36+E38*E41+E43*E46+E48*E51+E53*E56+E58*E61</f>
        <v>12000</v>
      </c>
      <c r="F10" s="26">
        <f t="shared" si="17"/>
        <v>0</v>
      </c>
      <c r="G10" s="26">
        <f t="shared" si="17"/>
        <v>0</v>
      </c>
      <c r="H10" s="26">
        <f t="shared" si="17"/>
        <v>0</v>
      </c>
      <c r="I10" s="26">
        <f t="shared" si="17"/>
        <v>0</v>
      </c>
      <c r="J10" s="26">
        <f t="shared" si="17"/>
        <v>0</v>
      </c>
      <c r="K10" s="26">
        <f t="shared" si="17"/>
        <v>0</v>
      </c>
      <c r="L10" s="26">
        <f t="shared" si="17"/>
        <v>0</v>
      </c>
      <c r="M10" s="26">
        <f t="shared" si="17"/>
        <v>0</v>
      </c>
      <c r="N10" s="26">
        <f t="shared" si="17"/>
        <v>0</v>
      </c>
      <c r="O10" s="26">
        <f t="shared" si="17"/>
        <v>0</v>
      </c>
      <c r="P10" s="26">
        <f t="shared" si="17"/>
        <v>0</v>
      </c>
      <c r="Q10" s="26">
        <f t="shared" si="17"/>
        <v>0</v>
      </c>
      <c r="R10" s="27">
        <f>SUM(F10:Q10)</f>
        <v>0</v>
      </c>
      <c r="S10" s="26">
        <f>S13*S16+S18*S21+S23*S26+S28*S31+S33*S36+S38*S41+S43*S46+S48*S51+S53*S56+S58*S61</f>
        <v>0</v>
      </c>
      <c r="T10" s="26">
        <f>T13*T16+T18*T21+T23*T26+T28*T31+T33*T36+T38*T41+T43*T46+T48*T51+T53*T56+T58*T61</f>
        <v>0</v>
      </c>
      <c r="U10" s="26">
        <f>U13*U16+U18*U21+U23*U26+U28*U31+U33*U36+U38*U41+U43*U46+U48*U51+U53*U56+U58*U61</f>
        <v>0</v>
      </c>
      <c r="W10" s="19">
        <f>IF($B56=9%,E56-E56*E53,0)</f>
        <v>0</v>
      </c>
      <c r="X10" s="19">
        <f t="shared" ref="X10:AI10" si="18">IF($B56=9%,F56-F56*F53,0)</f>
        <v>0</v>
      </c>
      <c r="Y10" s="19">
        <f t="shared" si="18"/>
        <v>0</v>
      </c>
      <c r="Z10" s="19">
        <f t="shared" si="18"/>
        <v>0</v>
      </c>
      <c r="AA10" s="19">
        <f t="shared" si="18"/>
        <v>0</v>
      </c>
      <c r="AB10" s="19">
        <f t="shared" si="18"/>
        <v>0</v>
      </c>
      <c r="AC10" s="19">
        <f t="shared" si="18"/>
        <v>0</v>
      </c>
      <c r="AD10" s="19">
        <f t="shared" si="18"/>
        <v>0</v>
      </c>
      <c r="AE10" s="19">
        <f t="shared" si="18"/>
        <v>0</v>
      </c>
      <c r="AF10" s="19">
        <f t="shared" si="18"/>
        <v>0</v>
      </c>
      <c r="AG10" s="19">
        <f t="shared" si="18"/>
        <v>0</v>
      </c>
      <c r="AH10" s="19">
        <f t="shared" si="18"/>
        <v>0</v>
      </c>
      <c r="AI10" s="19">
        <f t="shared" si="18"/>
        <v>0</v>
      </c>
      <c r="AJ10" s="23">
        <f t="shared" si="4"/>
        <v>0</v>
      </c>
      <c r="AK10" s="19">
        <f>IF($B56=9%,S56-S56*S53,0)</f>
        <v>0</v>
      </c>
      <c r="AL10" s="19">
        <f>IF($B56=9%,T56-T56*T53,0)</f>
        <v>0</v>
      </c>
      <c r="AM10" s="19">
        <f>IF($B56=9%,U56-U56*U53,0)</f>
        <v>0</v>
      </c>
    </row>
    <row r="11" spans="1:74" s="19" customFormat="1" ht="12" hidden="1" thickBot="1" x14ac:dyDescent="0.25">
      <c r="A11" s="28"/>
      <c r="B11" s="28"/>
      <c r="C11" s="28"/>
      <c r="D11" s="29"/>
      <c r="E11" s="48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30"/>
      <c r="T11" s="30"/>
      <c r="U11" s="30"/>
      <c r="W11" s="19">
        <f>IF($B61=9%,E61-E61*E58,0)</f>
        <v>0</v>
      </c>
      <c r="X11" s="19">
        <f t="shared" ref="X11:AI11" si="19">IF($B61=9%,F61-F61*F58,0)</f>
        <v>0</v>
      </c>
      <c r="Y11" s="19">
        <f t="shared" si="19"/>
        <v>0</v>
      </c>
      <c r="Z11" s="19">
        <f t="shared" si="19"/>
        <v>0</v>
      </c>
      <c r="AA11" s="19">
        <f t="shared" si="19"/>
        <v>0</v>
      </c>
      <c r="AB11" s="19">
        <f t="shared" si="19"/>
        <v>0</v>
      </c>
      <c r="AC11" s="19">
        <f t="shared" si="19"/>
        <v>0</v>
      </c>
      <c r="AD11" s="19">
        <f t="shared" si="19"/>
        <v>0</v>
      </c>
      <c r="AE11" s="19">
        <f t="shared" si="19"/>
        <v>0</v>
      </c>
      <c r="AF11" s="19">
        <f t="shared" si="19"/>
        <v>0</v>
      </c>
      <c r="AG11" s="19">
        <f t="shared" si="19"/>
        <v>0</v>
      </c>
      <c r="AH11" s="19">
        <f t="shared" si="19"/>
        <v>0</v>
      </c>
      <c r="AI11" s="19">
        <f t="shared" si="19"/>
        <v>0</v>
      </c>
      <c r="AJ11" s="23">
        <f t="shared" si="4"/>
        <v>0</v>
      </c>
      <c r="AK11" s="19">
        <f>IF($B61=9%,S61-S61*S58,0)</f>
        <v>0</v>
      </c>
      <c r="AL11" s="19">
        <f>IF($B61=9%,T61-T61*T58,0)</f>
        <v>0</v>
      </c>
      <c r="AM11" s="19">
        <f>IF($B61=9%,U61-U61*U58,0)</f>
        <v>0</v>
      </c>
    </row>
    <row r="12" spans="1:74" s="33" customFormat="1" ht="12" thickTop="1" x14ac:dyDescent="0.2">
      <c r="A12" s="399">
        <v>1</v>
      </c>
      <c r="B12" s="405" t="s">
        <v>260</v>
      </c>
      <c r="C12" s="406"/>
      <c r="D12" s="32" t="s">
        <v>137</v>
      </c>
      <c r="E12" s="49">
        <v>2</v>
      </c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7">
        <f>SUM(F12:Q12)</f>
        <v>0</v>
      </c>
      <c r="S12" s="246"/>
      <c r="T12" s="246"/>
      <c r="U12" s="248"/>
    </row>
    <row r="13" spans="1:74" s="33" customFormat="1" x14ac:dyDescent="0.2">
      <c r="A13" s="400"/>
      <c r="B13" s="407"/>
      <c r="C13" s="407"/>
      <c r="D13" s="34" t="s">
        <v>118</v>
      </c>
      <c r="E13" s="50">
        <v>0.5</v>
      </c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5"/>
      <c r="S13" s="164"/>
      <c r="T13" s="164"/>
      <c r="U13" s="166"/>
    </row>
    <row r="14" spans="1:74" s="33" customFormat="1" x14ac:dyDescent="0.2">
      <c r="A14" s="400"/>
      <c r="B14" s="407"/>
      <c r="C14" s="407"/>
      <c r="D14" s="35" t="s">
        <v>157</v>
      </c>
      <c r="E14" s="47">
        <v>12000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7"/>
      <c r="S14" s="56"/>
      <c r="T14" s="56"/>
      <c r="U14" s="56"/>
    </row>
    <row r="15" spans="1:74" s="33" customFormat="1" ht="33.75" x14ac:dyDescent="0.2">
      <c r="A15" s="400"/>
      <c r="B15" s="36" t="s">
        <v>138</v>
      </c>
      <c r="C15" s="36" t="s">
        <v>147</v>
      </c>
      <c r="D15" s="35" t="s">
        <v>204</v>
      </c>
      <c r="E15" s="47">
        <v>8000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7"/>
      <c r="S15" s="56"/>
      <c r="T15" s="56"/>
      <c r="U15" s="58"/>
    </row>
    <row r="16" spans="1:74" s="33" customFormat="1" ht="12" thickBot="1" x14ac:dyDescent="0.25">
      <c r="A16" s="401"/>
      <c r="B16" s="37">
        <v>0.2</v>
      </c>
      <c r="C16" s="37">
        <v>0.1</v>
      </c>
      <c r="D16" s="38" t="s">
        <v>130</v>
      </c>
      <c r="E16" s="51">
        <f>E12*E14</f>
        <v>24000</v>
      </c>
      <c r="F16" s="59">
        <f>F12*F14</f>
        <v>0</v>
      </c>
      <c r="G16" s="59">
        <f t="shared" ref="G16:U16" si="20">G12*G14</f>
        <v>0</v>
      </c>
      <c r="H16" s="59">
        <f t="shared" si="20"/>
        <v>0</v>
      </c>
      <c r="I16" s="59">
        <f t="shared" si="20"/>
        <v>0</v>
      </c>
      <c r="J16" s="59">
        <f t="shared" si="20"/>
        <v>0</v>
      </c>
      <c r="K16" s="59">
        <f t="shared" si="20"/>
        <v>0</v>
      </c>
      <c r="L16" s="59">
        <f t="shared" si="20"/>
        <v>0</v>
      </c>
      <c r="M16" s="59">
        <f t="shared" si="20"/>
        <v>0</v>
      </c>
      <c r="N16" s="59">
        <f t="shared" si="20"/>
        <v>0</v>
      </c>
      <c r="O16" s="59">
        <f t="shared" si="20"/>
        <v>0</v>
      </c>
      <c r="P16" s="59">
        <f t="shared" si="20"/>
        <v>0</v>
      </c>
      <c r="Q16" s="59">
        <f t="shared" si="20"/>
        <v>0</v>
      </c>
      <c r="R16" s="60">
        <f>SUM(F16:Q16)</f>
        <v>0</v>
      </c>
      <c r="S16" s="59">
        <f t="shared" si="20"/>
        <v>0</v>
      </c>
      <c r="T16" s="59">
        <f t="shared" si="20"/>
        <v>0</v>
      </c>
      <c r="U16" s="61">
        <f t="shared" si="20"/>
        <v>0</v>
      </c>
    </row>
    <row r="17" spans="1:22" s="33" customFormat="1" ht="12" thickTop="1" x14ac:dyDescent="0.2">
      <c r="A17" s="399">
        <v>2</v>
      </c>
      <c r="B17" s="405" t="s">
        <v>153</v>
      </c>
      <c r="C17" s="406"/>
      <c r="D17" s="32" t="s">
        <v>137</v>
      </c>
      <c r="E17" s="49">
        <v>15</v>
      </c>
      <c r="F17" s="55"/>
      <c r="G17" s="55"/>
      <c r="H17" s="55"/>
      <c r="I17" s="55"/>
      <c r="J17" s="243"/>
      <c r="K17" s="243"/>
      <c r="L17" s="243"/>
      <c r="M17" s="243"/>
      <c r="N17" s="243"/>
      <c r="O17" s="243"/>
      <c r="P17" s="243"/>
      <c r="Q17" s="243"/>
      <c r="R17" s="244">
        <f>SUM(F17:Q17)</f>
        <v>0</v>
      </c>
      <c r="S17" s="243"/>
      <c r="T17" s="243"/>
      <c r="U17" s="245"/>
    </row>
    <row r="18" spans="1:22" s="33" customFormat="1" x14ac:dyDescent="0.2">
      <c r="A18" s="400"/>
      <c r="B18" s="407"/>
      <c r="C18" s="407"/>
      <c r="D18" s="34" t="s">
        <v>118</v>
      </c>
      <c r="E18" s="50">
        <v>0</v>
      </c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5"/>
      <c r="S18" s="164"/>
      <c r="T18" s="164"/>
      <c r="U18" s="166"/>
    </row>
    <row r="19" spans="1:22" s="33" customFormat="1" x14ac:dyDescent="0.2">
      <c r="A19" s="400"/>
      <c r="B19" s="407"/>
      <c r="C19" s="407"/>
      <c r="D19" s="35" t="s">
        <v>157</v>
      </c>
      <c r="E19" s="47">
        <v>3000</v>
      </c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7"/>
      <c r="S19" s="56"/>
      <c r="T19" s="56"/>
      <c r="U19" s="58"/>
    </row>
    <row r="20" spans="1:22" s="33" customFormat="1" ht="33.75" x14ac:dyDescent="0.2">
      <c r="A20" s="400"/>
      <c r="B20" s="36" t="s">
        <v>138</v>
      </c>
      <c r="C20" s="36" t="s">
        <v>147</v>
      </c>
      <c r="D20" s="35" t="s">
        <v>205</v>
      </c>
      <c r="E20" s="47">
        <v>1400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7"/>
      <c r="S20" s="56"/>
      <c r="T20" s="56"/>
      <c r="U20" s="58"/>
    </row>
    <row r="21" spans="1:22" s="33" customFormat="1" ht="12" thickBot="1" x14ac:dyDescent="0.25">
      <c r="A21" s="401"/>
      <c r="B21" s="37">
        <v>0.2</v>
      </c>
      <c r="C21" s="37">
        <v>0.1</v>
      </c>
      <c r="D21" s="38" t="s">
        <v>145</v>
      </c>
      <c r="E21" s="51">
        <f>E17*E19</f>
        <v>45000</v>
      </c>
      <c r="F21" s="59">
        <f t="shared" ref="F21:Q21" si="21">F17*F19</f>
        <v>0</v>
      </c>
      <c r="G21" s="59">
        <f t="shared" si="21"/>
        <v>0</v>
      </c>
      <c r="H21" s="59">
        <f t="shared" si="21"/>
        <v>0</v>
      </c>
      <c r="I21" s="59">
        <f t="shared" si="21"/>
        <v>0</v>
      </c>
      <c r="J21" s="59">
        <f t="shared" si="21"/>
        <v>0</v>
      </c>
      <c r="K21" s="59">
        <f t="shared" si="21"/>
        <v>0</v>
      </c>
      <c r="L21" s="59">
        <f t="shared" si="21"/>
        <v>0</v>
      </c>
      <c r="M21" s="59">
        <f t="shared" si="21"/>
        <v>0</v>
      </c>
      <c r="N21" s="59">
        <f t="shared" si="21"/>
        <v>0</v>
      </c>
      <c r="O21" s="59">
        <f t="shared" si="21"/>
        <v>0</v>
      </c>
      <c r="P21" s="59">
        <f t="shared" si="21"/>
        <v>0</v>
      </c>
      <c r="Q21" s="59">
        <f t="shared" si="21"/>
        <v>0</v>
      </c>
      <c r="R21" s="60">
        <f>SUM(F21:Q21)</f>
        <v>0</v>
      </c>
      <c r="S21" s="59">
        <f>S17*S19</f>
        <v>0</v>
      </c>
      <c r="T21" s="59">
        <f>T17*T19</f>
        <v>0</v>
      </c>
      <c r="U21" s="61">
        <f>U17*U19</f>
        <v>0</v>
      </c>
    </row>
    <row r="22" spans="1:22" ht="12" thickTop="1" x14ac:dyDescent="0.2">
      <c r="A22" s="402">
        <v>3</v>
      </c>
      <c r="B22" s="396" t="s">
        <v>155</v>
      </c>
      <c r="C22" s="397"/>
      <c r="D22" s="39" t="s">
        <v>137</v>
      </c>
      <c r="E22" s="49">
        <v>20</v>
      </c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50">
        <f>SUM(F22:Q22)</f>
        <v>0</v>
      </c>
      <c r="S22" s="249"/>
      <c r="T22" s="249"/>
      <c r="U22" s="251"/>
    </row>
    <row r="23" spans="1:22" x14ac:dyDescent="0.2">
      <c r="A23" s="403"/>
      <c r="B23" s="398"/>
      <c r="C23" s="398"/>
      <c r="D23" s="40" t="s">
        <v>118</v>
      </c>
      <c r="E23" s="50">
        <v>0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/>
      <c r="S23" s="164"/>
      <c r="T23" s="164"/>
      <c r="U23" s="166"/>
    </row>
    <row r="24" spans="1:22" x14ac:dyDescent="0.2">
      <c r="A24" s="403"/>
      <c r="B24" s="398"/>
      <c r="C24" s="398"/>
      <c r="D24" s="35" t="s">
        <v>157</v>
      </c>
      <c r="E24" s="47">
        <v>350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3"/>
      <c r="S24" s="62"/>
      <c r="T24" s="62"/>
      <c r="U24" s="64"/>
    </row>
    <row r="25" spans="1:22" ht="33.75" x14ac:dyDescent="0.2">
      <c r="A25" s="403"/>
      <c r="B25" s="41" t="s">
        <v>138</v>
      </c>
      <c r="C25" s="41" t="s">
        <v>147</v>
      </c>
      <c r="D25" s="15" t="s">
        <v>205</v>
      </c>
      <c r="E25" s="47">
        <v>0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  <c r="S25" s="62"/>
      <c r="T25" s="62"/>
      <c r="U25" s="64"/>
    </row>
    <row r="26" spans="1:22" ht="12" thickBot="1" x14ac:dyDescent="0.25">
      <c r="A26" s="404"/>
      <c r="B26" s="42">
        <v>0.09</v>
      </c>
      <c r="C26" s="42">
        <v>0</v>
      </c>
      <c r="D26" s="38" t="s">
        <v>146</v>
      </c>
      <c r="E26" s="51">
        <f>E22*E24</f>
        <v>7000</v>
      </c>
      <c r="F26" s="59">
        <f t="shared" ref="F26:Q26" si="22">F22*F24</f>
        <v>0</v>
      </c>
      <c r="G26" s="59">
        <f t="shared" si="22"/>
        <v>0</v>
      </c>
      <c r="H26" s="59">
        <f t="shared" si="22"/>
        <v>0</v>
      </c>
      <c r="I26" s="59">
        <f t="shared" si="22"/>
        <v>0</v>
      </c>
      <c r="J26" s="59">
        <f t="shared" si="22"/>
        <v>0</v>
      </c>
      <c r="K26" s="59">
        <f t="shared" si="22"/>
        <v>0</v>
      </c>
      <c r="L26" s="59">
        <f t="shared" si="22"/>
        <v>0</v>
      </c>
      <c r="M26" s="59">
        <f t="shared" si="22"/>
        <v>0</v>
      </c>
      <c r="N26" s="59">
        <f t="shared" si="22"/>
        <v>0</v>
      </c>
      <c r="O26" s="59">
        <f t="shared" si="22"/>
        <v>0</v>
      </c>
      <c r="P26" s="59">
        <f t="shared" si="22"/>
        <v>0</v>
      </c>
      <c r="Q26" s="59">
        <f t="shared" si="22"/>
        <v>0</v>
      </c>
      <c r="R26" s="60">
        <f>SUM(F26:Q26)</f>
        <v>0</v>
      </c>
      <c r="S26" s="59">
        <f>S22*S24</f>
        <v>0</v>
      </c>
      <c r="T26" s="59">
        <f>T22*T24</f>
        <v>0</v>
      </c>
      <c r="U26" s="61">
        <f>U22*U24</f>
        <v>0</v>
      </c>
    </row>
    <row r="27" spans="1:22" ht="12" thickTop="1" x14ac:dyDescent="0.2">
      <c r="A27" s="402">
        <v>4</v>
      </c>
      <c r="B27" s="396" t="s">
        <v>154</v>
      </c>
      <c r="C27" s="397"/>
      <c r="D27" s="39" t="s">
        <v>137</v>
      </c>
      <c r="E27" s="49">
        <v>30</v>
      </c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50">
        <f>SUM(F27:Q27)</f>
        <v>0</v>
      </c>
      <c r="S27" s="249"/>
      <c r="T27" s="249"/>
      <c r="U27" s="251"/>
    </row>
    <row r="28" spans="1:22" x14ac:dyDescent="0.2">
      <c r="A28" s="403"/>
      <c r="B28" s="398"/>
      <c r="C28" s="398"/>
      <c r="D28" s="40" t="s">
        <v>118</v>
      </c>
      <c r="E28" s="50">
        <v>0</v>
      </c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5"/>
      <c r="S28" s="164"/>
      <c r="T28" s="164"/>
      <c r="U28" s="166"/>
    </row>
    <row r="29" spans="1:22" x14ac:dyDescent="0.2">
      <c r="A29" s="403"/>
      <c r="B29" s="398"/>
      <c r="C29" s="398"/>
      <c r="D29" s="35" t="s">
        <v>157</v>
      </c>
      <c r="E29" s="47">
        <v>50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3"/>
      <c r="S29" s="62"/>
      <c r="T29" s="62"/>
      <c r="U29" s="64"/>
    </row>
    <row r="30" spans="1:22" ht="33.75" x14ac:dyDescent="0.2">
      <c r="A30" s="403"/>
      <c r="B30" s="41" t="s">
        <v>138</v>
      </c>
      <c r="C30" s="41" t="s">
        <v>147</v>
      </c>
      <c r="D30" s="15" t="s">
        <v>135</v>
      </c>
      <c r="E30" s="47">
        <v>30</v>
      </c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3"/>
      <c r="S30" s="62"/>
      <c r="T30" s="62"/>
      <c r="U30" s="64"/>
    </row>
    <row r="31" spans="1:22" ht="12" thickBot="1" x14ac:dyDescent="0.25">
      <c r="A31" s="404"/>
      <c r="B31" s="42">
        <v>0.2</v>
      </c>
      <c r="C31" s="42">
        <v>0.1</v>
      </c>
      <c r="D31" s="38" t="s">
        <v>131</v>
      </c>
      <c r="E31" s="51">
        <f>E27*E29</f>
        <v>1500</v>
      </c>
      <c r="F31" s="59">
        <f t="shared" ref="F31:Q31" si="23">F27*F29</f>
        <v>0</v>
      </c>
      <c r="G31" s="59">
        <f t="shared" si="23"/>
        <v>0</v>
      </c>
      <c r="H31" s="59">
        <f t="shared" si="23"/>
        <v>0</v>
      </c>
      <c r="I31" s="59">
        <f t="shared" si="23"/>
        <v>0</v>
      </c>
      <c r="J31" s="59">
        <f t="shared" si="23"/>
        <v>0</v>
      </c>
      <c r="K31" s="59">
        <f t="shared" si="23"/>
        <v>0</v>
      </c>
      <c r="L31" s="59">
        <f t="shared" si="23"/>
        <v>0</v>
      </c>
      <c r="M31" s="59">
        <f t="shared" si="23"/>
        <v>0</v>
      </c>
      <c r="N31" s="59">
        <f t="shared" si="23"/>
        <v>0</v>
      </c>
      <c r="O31" s="59">
        <f t="shared" si="23"/>
        <v>0</v>
      </c>
      <c r="P31" s="59">
        <f t="shared" si="23"/>
        <v>0</v>
      </c>
      <c r="Q31" s="59">
        <f t="shared" si="23"/>
        <v>0</v>
      </c>
      <c r="R31" s="60">
        <f>SUM(F31:Q31)</f>
        <v>0</v>
      </c>
      <c r="S31" s="59">
        <f>S27*S29</f>
        <v>0</v>
      </c>
      <c r="T31" s="59">
        <f>T27*T29</f>
        <v>0</v>
      </c>
      <c r="U31" s="61">
        <f>U27*U29</f>
        <v>0</v>
      </c>
    </row>
    <row r="32" spans="1:22" ht="12" thickTop="1" x14ac:dyDescent="0.2">
      <c r="A32" s="402">
        <v>5</v>
      </c>
      <c r="B32" s="396"/>
      <c r="C32" s="397"/>
      <c r="D32" s="39" t="s">
        <v>137</v>
      </c>
      <c r="E32" s="49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3">
        <f>SUM(F32:Q32)</f>
        <v>0</v>
      </c>
      <c r="S32" s="252"/>
      <c r="T32" s="252"/>
      <c r="U32" s="254"/>
      <c r="V32" s="255"/>
    </row>
    <row r="33" spans="1:22" x14ac:dyDescent="0.2">
      <c r="A33" s="403"/>
      <c r="B33" s="398"/>
      <c r="C33" s="398"/>
      <c r="D33" s="40" t="s">
        <v>118</v>
      </c>
      <c r="E33" s="50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5"/>
      <c r="S33" s="164"/>
      <c r="T33" s="164"/>
      <c r="U33" s="166"/>
    </row>
    <row r="34" spans="1:22" x14ac:dyDescent="0.2">
      <c r="A34" s="403"/>
      <c r="B34" s="398"/>
      <c r="C34" s="398"/>
      <c r="D34" s="35" t="s">
        <v>157</v>
      </c>
      <c r="E34" s="47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3"/>
      <c r="S34" s="62"/>
      <c r="T34" s="62"/>
      <c r="U34" s="64"/>
    </row>
    <row r="35" spans="1:22" ht="33.75" x14ac:dyDescent="0.2">
      <c r="A35" s="403"/>
      <c r="B35" s="41" t="s">
        <v>138</v>
      </c>
      <c r="C35" s="41" t="s">
        <v>147</v>
      </c>
      <c r="D35" s="15" t="s">
        <v>204</v>
      </c>
      <c r="E35" s="47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3"/>
      <c r="S35" s="62"/>
      <c r="T35" s="62"/>
      <c r="U35" s="64"/>
    </row>
    <row r="36" spans="1:22" ht="12" thickBot="1" x14ac:dyDescent="0.25">
      <c r="A36" s="404"/>
      <c r="B36" s="42"/>
      <c r="C36" s="42"/>
      <c r="D36" s="38" t="s">
        <v>132</v>
      </c>
      <c r="E36" s="51">
        <f>E32*E34</f>
        <v>0</v>
      </c>
      <c r="F36" s="59">
        <f t="shared" ref="F36:Q36" si="24">F32*F34</f>
        <v>0</v>
      </c>
      <c r="G36" s="59">
        <f t="shared" si="24"/>
        <v>0</v>
      </c>
      <c r="H36" s="59">
        <f t="shared" si="24"/>
        <v>0</v>
      </c>
      <c r="I36" s="59">
        <f t="shared" si="24"/>
        <v>0</v>
      </c>
      <c r="J36" s="59">
        <f t="shared" si="24"/>
        <v>0</v>
      </c>
      <c r="K36" s="59">
        <f t="shared" si="24"/>
        <v>0</v>
      </c>
      <c r="L36" s="59">
        <f t="shared" si="24"/>
        <v>0</v>
      </c>
      <c r="M36" s="59">
        <f t="shared" si="24"/>
        <v>0</v>
      </c>
      <c r="N36" s="59">
        <f t="shared" si="24"/>
        <v>0</v>
      </c>
      <c r="O36" s="59">
        <f t="shared" si="24"/>
        <v>0</v>
      </c>
      <c r="P36" s="59">
        <f t="shared" si="24"/>
        <v>0</v>
      </c>
      <c r="Q36" s="59">
        <f t="shared" si="24"/>
        <v>0</v>
      </c>
      <c r="R36" s="60">
        <f>SUM(F36:Q36)</f>
        <v>0</v>
      </c>
      <c r="S36" s="59">
        <f>S32*S34</f>
        <v>0</v>
      </c>
      <c r="T36" s="59">
        <f>T32*T34</f>
        <v>0</v>
      </c>
      <c r="U36" s="61">
        <f>U32*U34</f>
        <v>0</v>
      </c>
    </row>
    <row r="37" spans="1:22" ht="12" thickTop="1" x14ac:dyDescent="0.2">
      <c r="A37" s="402">
        <v>6</v>
      </c>
      <c r="B37" s="396"/>
      <c r="C37" s="397"/>
      <c r="D37" s="39" t="s">
        <v>137</v>
      </c>
      <c r="E37" s="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50">
        <f>SUM(F37:Q37)</f>
        <v>0</v>
      </c>
      <c r="S37" s="249"/>
      <c r="T37" s="249"/>
      <c r="U37" s="251"/>
    </row>
    <row r="38" spans="1:22" x14ac:dyDescent="0.2">
      <c r="A38" s="403"/>
      <c r="B38" s="398"/>
      <c r="C38" s="398"/>
      <c r="D38" s="40" t="s">
        <v>118</v>
      </c>
      <c r="E38" s="50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5"/>
      <c r="S38" s="164"/>
      <c r="T38" s="164"/>
      <c r="U38" s="166"/>
    </row>
    <row r="39" spans="1:22" x14ac:dyDescent="0.2">
      <c r="A39" s="403"/>
      <c r="B39" s="398"/>
      <c r="C39" s="398"/>
      <c r="D39" s="35" t="s">
        <v>157</v>
      </c>
      <c r="E39" s="47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3"/>
      <c r="S39" s="62"/>
      <c r="T39" s="62"/>
      <c r="U39" s="64"/>
    </row>
    <row r="40" spans="1:22" ht="33.75" x14ac:dyDescent="0.2">
      <c r="A40" s="403"/>
      <c r="B40" s="41" t="s">
        <v>138</v>
      </c>
      <c r="C40" s="41" t="s">
        <v>147</v>
      </c>
      <c r="D40" s="15" t="s">
        <v>205</v>
      </c>
      <c r="E40" s="47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3"/>
      <c r="S40" s="62"/>
      <c r="T40" s="62"/>
      <c r="U40" s="64"/>
    </row>
    <row r="41" spans="1:22" ht="12" thickBot="1" x14ac:dyDescent="0.25">
      <c r="A41" s="404"/>
      <c r="B41" s="43"/>
      <c r="C41" s="43"/>
      <c r="D41" s="38" t="s">
        <v>140</v>
      </c>
      <c r="E41" s="51">
        <f>E37*E39</f>
        <v>0</v>
      </c>
      <c r="F41" s="59">
        <f t="shared" ref="F41:Q41" si="25">F37*F39</f>
        <v>0</v>
      </c>
      <c r="G41" s="59">
        <f t="shared" si="25"/>
        <v>0</v>
      </c>
      <c r="H41" s="59">
        <f t="shared" si="25"/>
        <v>0</v>
      </c>
      <c r="I41" s="59">
        <f t="shared" si="25"/>
        <v>0</v>
      </c>
      <c r="J41" s="59">
        <f t="shared" si="25"/>
        <v>0</v>
      </c>
      <c r="K41" s="59">
        <f t="shared" si="25"/>
        <v>0</v>
      </c>
      <c r="L41" s="59">
        <f t="shared" si="25"/>
        <v>0</v>
      </c>
      <c r="M41" s="59">
        <f t="shared" si="25"/>
        <v>0</v>
      </c>
      <c r="N41" s="59">
        <f t="shared" si="25"/>
        <v>0</v>
      </c>
      <c r="O41" s="59">
        <f t="shared" si="25"/>
        <v>0</v>
      </c>
      <c r="P41" s="59">
        <f t="shared" si="25"/>
        <v>0</v>
      </c>
      <c r="Q41" s="59">
        <f t="shared" si="25"/>
        <v>0</v>
      </c>
      <c r="R41" s="60">
        <f>SUM(F41:Q41)</f>
        <v>0</v>
      </c>
      <c r="S41" s="59">
        <f>S37*S39</f>
        <v>0</v>
      </c>
      <c r="T41" s="59">
        <f>T37*T39</f>
        <v>0</v>
      </c>
      <c r="U41" s="61">
        <f>U37*U39</f>
        <v>0</v>
      </c>
    </row>
    <row r="42" spans="1:22" ht="12" thickTop="1" x14ac:dyDescent="0.2">
      <c r="A42" s="402">
        <v>7</v>
      </c>
      <c r="B42" s="396"/>
      <c r="C42" s="397"/>
      <c r="D42" s="39" t="s">
        <v>137</v>
      </c>
      <c r="E42" s="49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3">
        <f>SUM(F42:Q42)</f>
        <v>0</v>
      </c>
      <c r="S42" s="252"/>
      <c r="T42" s="252"/>
      <c r="U42" s="254"/>
      <c r="V42" s="255"/>
    </row>
    <row r="43" spans="1:22" x14ac:dyDescent="0.2">
      <c r="A43" s="403"/>
      <c r="B43" s="398"/>
      <c r="C43" s="398"/>
      <c r="D43" s="40" t="s">
        <v>118</v>
      </c>
      <c r="E43" s="50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5"/>
      <c r="S43" s="164"/>
      <c r="T43" s="164"/>
      <c r="U43" s="166"/>
    </row>
    <row r="44" spans="1:22" x14ac:dyDescent="0.2">
      <c r="A44" s="403"/>
      <c r="B44" s="398"/>
      <c r="C44" s="398"/>
      <c r="D44" s="35" t="s">
        <v>157</v>
      </c>
      <c r="E44" s="47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3"/>
      <c r="S44" s="62"/>
      <c r="T44" s="62"/>
      <c r="U44" s="64"/>
    </row>
    <row r="45" spans="1:22" ht="33.75" x14ac:dyDescent="0.2">
      <c r="A45" s="403"/>
      <c r="B45" s="41" t="s">
        <v>138</v>
      </c>
      <c r="C45" s="41" t="s">
        <v>147</v>
      </c>
      <c r="D45" s="15" t="s">
        <v>204</v>
      </c>
      <c r="E45" s="47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3"/>
      <c r="S45" s="62"/>
      <c r="T45" s="62"/>
      <c r="U45" s="64"/>
    </row>
    <row r="46" spans="1:22" ht="12" thickBot="1" x14ac:dyDescent="0.25">
      <c r="A46" s="404"/>
      <c r="B46" s="42"/>
      <c r="C46" s="42"/>
      <c r="D46" s="38" t="s">
        <v>141</v>
      </c>
      <c r="E46" s="51">
        <f>E42*E44</f>
        <v>0</v>
      </c>
      <c r="F46" s="59">
        <f t="shared" ref="F46:Q46" si="26">F42*F44</f>
        <v>0</v>
      </c>
      <c r="G46" s="59">
        <f t="shared" si="26"/>
        <v>0</v>
      </c>
      <c r="H46" s="59">
        <f t="shared" si="26"/>
        <v>0</v>
      </c>
      <c r="I46" s="59">
        <f t="shared" si="26"/>
        <v>0</v>
      </c>
      <c r="J46" s="59">
        <f t="shared" si="26"/>
        <v>0</v>
      </c>
      <c r="K46" s="59">
        <f t="shared" si="26"/>
        <v>0</v>
      </c>
      <c r="L46" s="59">
        <f t="shared" si="26"/>
        <v>0</v>
      </c>
      <c r="M46" s="59">
        <f t="shared" si="26"/>
        <v>0</v>
      </c>
      <c r="N46" s="59">
        <f t="shared" si="26"/>
        <v>0</v>
      </c>
      <c r="O46" s="59">
        <f t="shared" si="26"/>
        <v>0</v>
      </c>
      <c r="P46" s="59">
        <f t="shared" si="26"/>
        <v>0</v>
      </c>
      <c r="Q46" s="59">
        <f t="shared" si="26"/>
        <v>0</v>
      </c>
      <c r="R46" s="60">
        <f>SUM(F46:Q46)</f>
        <v>0</v>
      </c>
      <c r="S46" s="59">
        <f>S42*S44</f>
        <v>0</v>
      </c>
      <c r="T46" s="59">
        <f>T42*T44</f>
        <v>0</v>
      </c>
      <c r="U46" s="61">
        <f>U42*U44</f>
        <v>0</v>
      </c>
    </row>
    <row r="47" spans="1:22" ht="12" thickTop="1" x14ac:dyDescent="0.2">
      <c r="A47" s="402">
        <v>8</v>
      </c>
      <c r="B47" s="396"/>
      <c r="C47" s="397"/>
      <c r="D47" s="39" t="s">
        <v>137</v>
      </c>
      <c r="E47" s="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50">
        <f>SUM(F47:Q47)</f>
        <v>0</v>
      </c>
      <c r="S47" s="249"/>
      <c r="T47" s="249"/>
      <c r="U47" s="251"/>
    </row>
    <row r="48" spans="1:22" x14ac:dyDescent="0.2">
      <c r="A48" s="403"/>
      <c r="B48" s="398"/>
      <c r="C48" s="398"/>
      <c r="D48" s="40" t="s">
        <v>118</v>
      </c>
      <c r="E48" s="50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5"/>
      <c r="S48" s="164"/>
      <c r="T48" s="164"/>
      <c r="U48" s="166"/>
    </row>
    <row r="49" spans="1:21" x14ac:dyDescent="0.2">
      <c r="A49" s="403"/>
      <c r="B49" s="398"/>
      <c r="C49" s="398"/>
      <c r="D49" s="35" t="s">
        <v>157</v>
      </c>
      <c r="E49" s="47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3"/>
      <c r="S49" s="62"/>
      <c r="T49" s="62"/>
      <c r="U49" s="64"/>
    </row>
    <row r="50" spans="1:21" ht="33.75" x14ac:dyDescent="0.2">
      <c r="A50" s="403"/>
      <c r="B50" s="41" t="s">
        <v>138</v>
      </c>
      <c r="C50" s="41" t="s">
        <v>147</v>
      </c>
      <c r="D50" s="15" t="s">
        <v>204</v>
      </c>
      <c r="E50" s="47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3"/>
      <c r="S50" s="62"/>
      <c r="T50" s="62"/>
      <c r="U50" s="64"/>
    </row>
    <row r="51" spans="1:21" ht="12" thickBot="1" x14ac:dyDescent="0.25">
      <c r="A51" s="404"/>
      <c r="B51" s="42"/>
      <c r="C51" s="42"/>
      <c r="D51" s="38" t="s">
        <v>142</v>
      </c>
      <c r="E51" s="51">
        <f>E47*E49</f>
        <v>0</v>
      </c>
      <c r="F51" s="59">
        <f t="shared" ref="F51:Q51" si="27">F47*F49</f>
        <v>0</v>
      </c>
      <c r="G51" s="59">
        <f t="shared" si="27"/>
        <v>0</v>
      </c>
      <c r="H51" s="59">
        <f t="shared" si="27"/>
        <v>0</v>
      </c>
      <c r="I51" s="59">
        <f t="shared" si="27"/>
        <v>0</v>
      </c>
      <c r="J51" s="59">
        <f t="shared" si="27"/>
        <v>0</v>
      </c>
      <c r="K51" s="59">
        <f t="shared" si="27"/>
        <v>0</v>
      </c>
      <c r="L51" s="59">
        <f t="shared" si="27"/>
        <v>0</v>
      </c>
      <c r="M51" s="59">
        <f t="shared" si="27"/>
        <v>0</v>
      </c>
      <c r="N51" s="59">
        <f t="shared" si="27"/>
        <v>0</v>
      </c>
      <c r="O51" s="59">
        <f t="shared" si="27"/>
        <v>0</v>
      </c>
      <c r="P51" s="59">
        <f t="shared" si="27"/>
        <v>0</v>
      </c>
      <c r="Q51" s="59">
        <f t="shared" si="27"/>
        <v>0</v>
      </c>
      <c r="R51" s="60">
        <f>SUM(F51:Q51)</f>
        <v>0</v>
      </c>
      <c r="S51" s="59">
        <f>S47*S49</f>
        <v>0</v>
      </c>
      <c r="T51" s="59">
        <f>T47*T49</f>
        <v>0</v>
      </c>
      <c r="U51" s="61">
        <f>U47*U49</f>
        <v>0</v>
      </c>
    </row>
    <row r="52" spans="1:21" ht="12" thickTop="1" x14ac:dyDescent="0.2">
      <c r="A52" s="402">
        <v>9</v>
      </c>
      <c r="B52" s="396"/>
      <c r="C52" s="397"/>
      <c r="D52" s="39" t="s">
        <v>137</v>
      </c>
      <c r="E52" s="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50">
        <f>SUM(F52:Q52)</f>
        <v>0</v>
      </c>
      <c r="S52" s="249"/>
      <c r="T52" s="249"/>
      <c r="U52" s="251"/>
    </row>
    <row r="53" spans="1:21" x14ac:dyDescent="0.2">
      <c r="A53" s="403"/>
      <c r="B53" s="398"/>
      <c r="C53" s="398"/>
      <c r="D53" s="40" t="s">
        <v>118</v>
      </c>
      <c r="E53" s="50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5"/>
      <c r="S53" s="164"/>
      <c r="T53" s="164"/>
      <c r="U53" s="166"/>
    </row>
    <row r="54" spans="1:21" x14ac:dyDescent="0.2">
      <c r="A54" s="403"/>
      <c r="B54" s="398"/>
      <c r="C54" s="398"/>
      <c r="D54" s="35" t="s">
        <v>157</v>
      </c>
      <c r="E54" s="47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3"/>
      <c r="S54" s="62"/>
      <c r="T54" s="62"/>
      <c r="U54" s="64"/>
    </row>
    <row r="55" spans="1:21" ht="33.75" x14ac:dyDescent="0.2">
      <c r="A55" s="403"/>
      <c r="B55" s="41" t="s">
        <v>138</v>
      </c>
      <c r="C55" s="41" t="s">
        <v>147</v>
      </c>
      <c r="D55" s="15" t="s">
        <v>204</v>
      </c>
      <c r="E55" s="47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3"/>
      <c r="S55" s="62"/>
      <c r="T55" s="62"/>
      <c r="U55" s="64"/>
    </row>
    <row r="56" spans="1:21" ht="12" thickBot="1" x14ac:dyDescent="0.25">
      <c r="A56" s="404"/>
      <c r="B56" s="42"/>
      <c r="C56" s="42"/>
      <c r="D56" s="38" t="s">
        <v>143</v>
      </c>
      <c r="E56" s="51">
        <f>E52*E54</f>
        <v>0</v>
      </c>
      <c r="F56" s="59">
        <f t="shared" ref="F56:Q56" si="28">F52*F54</f>
        <v>0</v>
      </c>
      <c r="G56" s="59">
        <f t="shared" si="28"/>
        <v>0</v>
      </c>
      <c r="H56" s="59">
        <f t="shared" si="28"/>
        <v>0</v>
      </c>
      <c r="I56" s="59">
        <f t="shared" si="28"/>
        <v>0</v>
      </c>
      <c r="J56" s="59">
        <f t="shared" si="28"/>
        <v>0</v>
      </c>
      <c r="K56" s="59">
        <f t="shared" si="28"/>
        <v>0</v>
      </c>
      <c r="L56" s="59">
        <f t="shared" si="28"/>
        <v>0</v>
      </c>
      <c r="M56" s="59">
        <f t="shared" si="28"/>
        <v>0</v>
      </c>
      <c r="N56" s="59">
        <f t="shared" si="28"/>
        <v>0</v>
      </c>
      <c r="O56" s="59">
        <f t="shared" si="28"/>
        <v>0</v>
      </c>
      <c r="P56" s="59">
        <f t="shared" si="28"/>
        <v>0</v>
      </c>
      <c r="Q56" s="59">
        <f t="shared" si="28"/>
        <v>0</v>
      </c>
      <c r="R56" s="60">
        <f>SUM(F56:Q56)</f>
        <v>0</v>
      </c>
      <c r="S56" s="59">
        <f>S52*S54</f>
        <v>0</v>
      </c>
      <c r="T56" s="59">
        <f>T52*T54</f>
        <v>0</v>
      </c>
      <c r="U56" s="61">
        <f>U52*U54</f>
        <v>0</v>
      </c>
    </row>
    <row r="57" spans="1:21" ht="12" thickTop="1" x14ac:dyDescent="0.2">
      <c r="A57" s="402">
        <v>10</v>
      </c>
      <c r="B57" s="396"/>
      <c r="C57" s="397"/>
      <c r="D57" s="39" t="s">
        <v>137</v>
      </c>
      <c r="E57" s="49"/>
      <c r="F57" s="252"/>
      <c r="G57" s="252"/>
      <c r="H57" s="252"/>
      <c r="I57" s="252"/>
      <c r="J57" s="249"/>
      <c r="K57" s="249"/>
      <c r="L57" s="249"/>
      <c r="M57" s="249"/>
      <c r="N57" s="249"/>
      <c r="O57" s="249"/>
      <c r="P57" s="249"/>
      <c r="Q57" s="249"/>
      <c r="R57" s="250">
        <f>SUM(F57:Q57)</f>
        <v>0</v>
      </c>
      <c r="S57" s="249"/>
      <c r="T57" s="249"/>
      <c r="U57" s="251"/>
    </row>
    <row r="58" spans="1:21" x14ac:dyDescent="0.2">
      <c r="A58" s="403"/>
      <c r="B58" s="398"/>
      <c r="C58" s="398"/>
      <c r="D58" s="40" t="s">
        <v>118</v>
      </c>
      <c r="E58" s="50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5"/>
      <c r="S58" s="164"/>
      <c r="T58" s="164"/>
      <c r="U58" s="166"/>
    </row>
    <row r="59" spans="1:21" x14ac:dyDescent="0.2">
      <c r="A59" s="403"/>
      <c r="B59" s="398"/>
      <c r="C59" s="398"/>
      <c r="D59" s="35" t="s">
        <v>157</v>
      </c>
      <c r="E59" s="47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3"/>
      <c r="S59" s="62"/>
      <c r="T59" s="62"/>
      <c r="U59" s="64"/>
    </row>
    <row r="60" spans="1:21" ht="33.75" x14ac:dyDescent="0.2">
      <c r="A60" s="403"/>
      <c r="B60" s="41" t="s">
        <v>138</v>
      </c>
      <c r="C60" s="41" t="s">
        <v>147</v>
      </c>
      <c r="D60" s="15" t="s">
        <v>204</v>
      </c>
      <c r="E60" s="47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62"/>
      <c r="T60" s="62"/>
      <c r="U60" s="64"/>
    </row>
    <row r="61" spans="1:21" ht="12" thickBot="1" x14ac:dyDescent="0.25">
      <c r="A61" s="404"/>
      <c r="B61" s="42"/>
      <c r="C61" s="42"/>
      <c r="D61" s="38" t="s">
        <v>144</v>
      </c>
      <c r="E61" s="51">
        <f>E57*E59</f>
        <v>0</v>
      </c>
      <c r="F61" s="59">
        <f t="shared" ref="F61:Q61" si="29">F57*F59</f>
        <v>0</v>
      </c>
      <c r="G61" s="59">
        <f t="shared" si="29"/>
        <v>0</v>
      </c>
      <c r="H61" s="59">
        <f t="shared" si="29"/>
        <v>0</v>
      </c>
      <c r="I61" s="59">
        <f t="shared" si="29"/>
        <v>0</v>
      </c>
      <c r="J61" s="59">
        <f t="shared" si="29"/>
        <v>0</v>
      </c>
      <c r="K61" s="59">
        <f t="shared" si="29"/>
        <v>0</v>
      </c>
      <c r="L61" s="59">
        <f t="shared" si="29"/>
        <v>0</v>
      </c>
      <c r="M61" s="59">
        <f t="shared" si="29"/>
        <v>0</v>
      </c>
      <c r="N61" s="59">
        <f t="shared" si="29"/>
        <v>0</v>
      </c>
      <c r="O61" s="59">
        <f t="shared" si="29"/>
        <v>0</v>
      </c>
      <c r="P61" s="59">
        <f t="shared" si="29"/>
        <v>0</v>
      </c>
      <c r="Q61" s="59">
        <f t="shared" si="29"/>
        <v>0</v>
      </c>
      <c r="R61" s="60">
        <f>SUM(F61:Q61)</f>
        <v>0</v>
      </c>
      <c r="S61" s="59">
        <f>S57*S59</f>
        <v>0</v>
      </c>
      <c r="T61" s="59">
        <f>T57*T59</f>
        <v>0</v>
      </c>
      <c r="U61" s="61">
        <f>U57*U59</f>
        <v>0</v>
      </c>
    </row>
    <row r="62" spans="1:21" ht="12" thickTop="1" x14ac:dyDescent="0.2"/>
  </sheetData>
  <sheetProtection algorithmName="SHA-512" hashValue="Wq+Qklra4HcvxgI8dRMCbJ0KlanQ2qCPFBNEYtLTG93VtKBbsrxhw0+mrBDO6Czh7B6IHpXvw9nDxXQT1adnVA==" saltValue="KHspZl+9cKmxjLWXt3jHDQ==" spinCount="100000" sheet="1" objects="1" scenarios="1"/>
  <mergeCells count="21">
    <mergeCell ref="A57:A61"/>
    <mergeCell ref="B57:C59"/>
    <mergeCell ref="A42:A46"/>
    <mergeCell ref="B42:C44"/>
    <mergeCell ref="A47:A51"/>
    <mergeCell ref="B47:C49"/>
    <mergeCell ref="A52:A56"/>
    <mergeCell ref="B52:C54"/>
    <mergeCell ref="B27:C29"/>
    <mergeCell ref="A32:A36"/>
    <mergeCell ref="B32:C34"/>
    <mergeCell ref="A37:A41"/>
    <mergeCell ref="B37:C39"/>
    <mergeCell ref="A27:A31"/>
    <mergeCell ref="B1:D1"/>
    <mergeCell ref="B22:C24"/>
    <mergeCell ref="A17:A21"/>
    <mergeCell ref="A22:A26"/>
    <mergeCell ref="B12:C14"/>
    <mergeCell ref="B17:C19"/>
    <mergeCell ref="A12:A16"/>
  </mergeCells>
  <phoneticPr fontId="2" type="noConversion"/>
  <pageMargins left="0.39370078740157483" right="0.19685039370078741" top="0.70866141732283472" bottom="0.51181102362204722" header="0" footer="0"/>
  <pageSetup paperSize="9" orientation="landscape" r:id="rId1"/>
  <headerFooter alignWithMargins="0"/>
  <rowBreaks count="1" manualBreakCount="1">
    <brk id="4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eht3">
    <pageSetUpPr fitToPage="1"/>
  </sheetPr>
  <dimension ref="A1:R117"/>
  <sheetViews>
    <sheetView view="pageBreakPreview" zoomScale="90" zoomScaleNormal="100" zoomScaleSheetLayoutView="90" workbookViewId="0">
      <pane xSplit="1" ySplit="6" topLeftCell="B7" activePane="bottomRight" state="frozen"/>
      <selection pane="topRight"/>
      <selection pane="bottomLeft" activeCell="A7" sqref="A7"/>
      <selection pane="bottomRight" activeCell="Q3" sqref="Q3"/>
    </sheetView>
  </sheetViews>
  <sheetFormatPr defaultRowHeight="11.25" x14ac:dyDescent="0.2"/>
  <cols>
    <col min="1" max="1" width="46.140625" style="66" customWidth="1"/>
    <col min="2" max="13" width="12.42578125" style="130" customWidth="1"/>
    <col min="14" max="14" width="12.7109375" style="130" customWidth="1"/>
    <col min="15" max="16" width="12.42578125" style="170" customWidth="1"/>
    <col min="17" max="17" width="9.140625" style="237" customWidth="1"/>
    <col min="18" max="18" width="7.7109375" style="66" customWidth="1"/>
    <col min="19" max="16384" width="9.140625" style="66"/>
  </cols>
  <sheetData>
    <row r="1" spans="1:17" s="188" customFormat="1" x14ac:dyDescent="0.2">
      <c r="A1" s="187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219" t="s">
        <v>50</v>
      </c>
      <c r="O1" s="219" t="s">
        <v>1</v>
      </c>
      <c r="P1" s="219" t="s">
        <v>2</v>
      </c>
      <c r="Q1" s="219" t="s">
        <v>119</v>
      </c>
    </row>
    <row r="2" spans="1:17" s="217" customFormat="1" x14ac:dyDescent="0.2">
      <c r="A2" s="67"/>
      <c r="B2" s="216">
        <v>44197</v>
      </c>
      <c r="C2" s="216">
        <v>44228</v>
      </c>
      <c r="D2" s="216">
        <v>44256</v>
      </c>
      <c r="E2" s="216">
        <v>44287</v>
      </c>
      <c r="F2" s="216">
        <v>44325</v>
      </c>
      <c r="G2" s="216">
        <v>44356</v>
      </c>
      <c r="H2" s="216">
        <v>44386</v>
      </c>
      <c r="I2" s="216">
        <v>44417</v>
      </c>
      <c r="J2" s="216">
        <v>44448</v>
      </c>
      <c r="K2" s="216">
        <v>44478</v>
      </c>
      <c r="L2" s="216">
        <v>44509</v>
      </c>
      <c r="M2" s="216">
        <v>44539</v>
      </c>
      <c r="N2" s="220">
        <v>2021</v>
      </c>
      <c r="O2" s="220">
        <v>2022</v>
      </c>
      <c r="P2" s="220">
        <v>2023</v>
      </c>
      <c r="Q2" s="220">
        <v>2024</v>
      </c>
    </row>
    <row r="3" spans="1:17" s="70" customFormat="1" x14ac:dyDescent="0.2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221"/>
      <c r="O3" s="221"/>
      <c r="P3" s="221"/>
      <c r="Q3" s="221"/>
    </row>
    <row r="4" spans="1:17" s="74" customFormat="1" x14ac:dyDescent="0.2">
      <c r="A4" s="343" t="s">
        <v>3</v>
      </c>
      <c r="B4" s="71">
        <f>Bilanss!B6</f>
        <v>0</v>
      </c>
      <c r="C4" s="72">
        <f t="shared" ref="C4:L4" si="0">B97</f>
        <v>0</v>
      </c>
      <c r="D4" s="72">
        <f t="shared" si="0"/>
        <v>0</v>
      </c>
      <c r="E4" s="72">
        <f t="shared" si="0"/>
        <v>0</v>
      </c>
      <c r="F4" s="72">
        <f t="shared" si="0"/>
        <v>0</v>
      </c>
      <c r="G4" s="72">
        <f t="shared" si="0"/>
        <v>0</v>
      </c>
      <c r="H4" s="72">
        <f t="shared" si="0"/>
        <v>0</v>
      </c>
      <c r="I4" s="72">
        <f t="shared" si="0"/>
        <v>0</v>
      </c>
      <c r="J4" s="72">
        <f t="shared" si="0"/>
        <v>0</v>
      </c>
      <c r="K4" s="73">
        <f t="shared" si="0"/>
        <v>0</v>
      </c>
      <c r="L4" s="73">
        <f t="shared" si="0"/>
        <v>0</v>
      </c>
      <c r="M4" s="73">
        <f>L97</f>
        <v>0</v>
      </c>
      <c r="N4" s="222">
        <f>B4</f>
        <v>0</v>
      </c>
      <c r="O4" s="222">
        <f>N97</f>
        <v>0</v>
      </c>
      <c r="P4" s="222">
        <f>O97</f>
        <v>0</v>
      </c>
      <c r="Q4" s="222">
        <f>P97</f>
        <v>0</v>
      </c>
    </row>
    <row r="5" spans="1:17" s="74" customFormat="1" x14ac:dyDescent="0.2">
      <c r="A5" s="75"/>
      <c r="B5" s="76"/>
      <c r="C5" s="77"/>
      <c r="D5" s="77"/>
      <c r="E5" s="77"/>
      <c r="F5" s="77"/>
      <c r="G5" s="77"/>
      <c r="H5" s="77"/>
      <c r="I5" s="77"/>
      <c r="J5" s="77"/>
      <c r="K5" s="65"/>
      <c r="L5" s="65"/>
      <c r="M5" s="65"/>
      <c r="N5" s="219"/>
      <c r="O5" s="219"/>
      <c r="P5" s="219"/>
      <c r="Q5" s="219"/>
    </row>
    <row r="6" spans="1:17" s="80" customFormat="1" x14ac:dyDescent="0.2">
      <c r="A6" s="78"/>
      <c r="B6" s="79">
        <f>IF(B7&gt;0,1,0)</f>
        <v>0</v>
      </c>
      <c r="C6" s="79">
        <f t="shared" ref="C6:M6" si="1">IF(C7&gt;0,1,0)</f>
        <v>0</v>
      </c>
      <c r="D6" s="79">
        <f t="shared" si="1"/>
        <v>0</v>
      </c>
      <c r="E6" s="79">
        <f t="shared" si="1"/>
        <v>0</v>
      </c>
      <c r="F6" s="79">
        <f t="shared" si="1"/>
        <v>0</v>
      </c>
      <c r="G6" s="79">
        <f t="shared" si="1"/>
        <v>0</v>
      </c>
      <c r="H6" s="79">
        <f t="shared" si="1"/>
        <v>0</v>
      </c>
      <c r="I6" s="79">
        <f t="shared" si="1"/>
        <v>0</v>
      </c>
      <c r="J6" s="79">
        <f t="shared" si="1"/>
        <v>0</v>
      </c>
      <c r="K6" s="79">
        <f t="shared" si="1"/>
        <v>0</v>
      </c>
      <c r="L6" s="79">
        <f t="shared" si="1"/>
        <v>0</v>
      </c>
      <c r="M6" s="79">
        <f t="shared" si="1"/>
        <v>0</v>
      </c>
      <c r="N6" s="239">
        <f>SUM(B6:M6)</f>
        <v>0</v>
      </c>
      <c r="O6" s="223"/>
      <c r="P6" s="223"/>
      <c r="Q6" s="223"/>
    </row>
    <row r="7" spans="1:17" s="83" customFormat="1" x14ac:dyDescent="0.2">
      <c r="A7" s="81" t="s">
        <v>110</v>
      </c>
      <c r="B7" s="82">
        <f>Tooted!F3</f>
        <v>0</v>
      </c>
      <c r="C7" s="82">
        <f>Tooted!G3</f>
        <v>0</v>
      </c>
      <c r="D7" s="82">
        <f>Tooted!H3</f>
        <v>0</v>
      </c>
      <c r="E7" s="82">
        <f>Tooted!I3</f>
        <v>0</v>
      </c>
      <c r="F7" s="82">
        <f>Tooted!J3</f>
        <v>0</v>
      </c>
      <c r="G7" s="82">
        <f>Tooted!K3</f>
        <v>0</v>
      </c>
      <c r="H7" s="82">
        <f>Tooted!L3</f>
        <v>0</v>
      </c>
      <c r="I7" s="82">
        <f>Tooted!M3</f>
        <v>0</v>
      </c>
      <c r="J7" s="82">
        <f>Tooted!N3</f>
        <v>0</v>
      </c>
      <c r="K7" s="82">
        <f>Tooted!O3</f>
        <v>0</v>
      </c>
      <c r="L7" s="82">
        <f>Tooted!P3</f>
        <v>0</v>
      </c>
      <c r="M7" s="82">
        <f>Tooted!Q3</f>
        <v>0</v>
      </c>
      <c r="N7" s="224">
        <f>SUM(B7:M7)</f>
        <v>0</v>
      </c>
      <c r="O7" s="224">
        <f>Tooted!S3</f>
        <v>0</v>
      </c>
      <c r="P7" s="224">
        <f>Tooted!T3</f>
        <v>0</v>
      </c>
      <c r="Q7" s="224">
        <f>Tooted!U3</f>
        <v>0</v>
      </c>
    </row>
    <row r="8" spans="1:17" s="83" customFormat="1" x14ac:dyDescent="0.2">
      <c r="A8" s="84" t="s">
        <v>118</v>
      </c>
      <c r="B8" s="259">
        <f>IF(B9&gt;0,B9/B7,0)</f>
        <v>0</v>
      </c>
      <c r="C8" s="259">
        <f t="shared" ref="C8:M8" si="2">IF(C9&gt;0,C9/C7,0)</f>
        <v>0</v>
      </c>
      <c r="D8" s="259">
        <f t="shared" si="2"/>
        <v>0</v>
      </c>
      <c r="E8" s="259">
        <f t="shared" si="2"/>
        <v>0</v>
      </c>
      <c r="F8" s="259">
        <f t="shared" si="2"/>
        <v>0</v>
      </c>
      <c r="G8" s="259">
        <f t="shared" si="2"/>
        <v>0</v>
      </c>
      <c r="H8" s="259">
        <f t="shared" si="2"/>
        <v>0</v>
      </c>
      <c r="I8" s="259">
        <f t="shared" si="2"/>
        <v>0</v>
      </c>
      <c r="J8" s="259">
        <f t="shared" si="2"/>
        <v>0</v>
      </c>
      <c r="K8" s="259">
        <f t="shared" si="2"/>
        <v>0</v>
      </c>
      <c r="L8" s="259">
        <f t="shared" si="2"/>
        <v>0</v>
      </c>
      <c r="M8" s="259">
        <f t="shared" si="2"/>
        <v>0</v>
      </c>
      <c r="N8" s="259">
        <f>IF(N9&gt;0,N9/N7,0)</f>
        <v>0</v>
      </c>
      <c r="O8" s="259">
        <f>IF(O9&gt;0,O9/O7,0)</f>
        <v>0</v>
      </c>
      <c r="P8" s="259">
        <f>IF(P9&gt;0,P9/P7,0)</f>
        <v>0</v>
      </c>
      <c r="Q8" s="259">
        <f>IF(Q9&gt;0,Q9/Q7,0)</f>
        <v>0</v>
      </c>
    </row>
    <row r="9" spans="1:17" s="83" customFormat="1" x14ac:dyDescent="0.2">
      <c r="A9" s="84" t="s">
        <v>208</v>
      </c>
      <c r="B9" s="82">
        <f>Tooted!F10</f>
        <v>0</v>
      </c>
      <c r="C9" s="82">
        <f>Tooted!G10</f>
        <v>0</v>
      </c>
      <c r="D9" s="82">
        <f>Tooted!H10</f>
        <v>0</v>
      </c>
      <c r="E9" s="82">
        <f>Tooted!I10</f>
        <v>0</v>
      </c>
      <c r="F9" s="82">
        <f>Tooted!J10</f>
        <v>0</v>
      </c>
      <c r="G9" s="82">
        <f>Tooted!K10</f>
        <v>0</v>
      </c>
      <c r="H9" s="82">
        <f>Tooted!L10</f>
        <v>0</v>
      </c>
      <c r="I9" s="82">
        <f>Tooted!M10</f>
        <v>0</v>
      </c>
      <c r="J9" s="82">
        <f>Tooted!N10</f>
        <v>0</v>
      </c>
      <c r="K9" s="82">
        <f>Tooted!O10</f>
        <v>0</v>
      </c>
      <c r="L9" s="82">
        <f>Tooted!P10</f>
        <v>0</v>
      </c>
      <c r="M9" s="82">
        <f>Tooted!Q10</f>
        <v>0</v>
      </c>
      <c r="N9" s="224">
        <f>SUM(B9:M9)</f>
        <v>0</v>
      </c>
      <c r="O9" s="224">
        <f>Tooted!S10</f>
        <v>0</v>
      </c>
      <c r="P9" s="224">
        <f>Tooted!T10</f>
        <v>0</v>
      </c>
      <c r="Q9" s="224">
        <f>Tooted!U10</f>
        <v>0</v>
      </c>
    </row>
    <row r="10" spans="1:17" s="83" customFormat="1" x14ac:dyDescent="0.2">
      <c r="A10" s="85" t="s">
        <v>51</v>
      </c>
      <c r="B10" s="86">
        <f>Tooted!F2</f>
        <v>0</v>
      </c>
      <c r="C10" s="86">
        <f>Tooted!G2</f>
        <v>0</v>
      </c>
      <c r="D10" s="86">
        <f>Tooted!H2</f>
        <v>0</v>
      </c>
      <c r="E10" s="86">
        <f>Tooted!I2</f>
        <v>0</v>
      </c>
      <c r="F10" s="86">
        <f>Tooted!J2</f>
        <v>0</v>
      </c>
      <c r="G10" s="86">
        <f>Tooted!K2</f>
        <v>0</v>
      </c>
      <c r="H10" s="86">
        <f>Tooted!L2</f>
        <v>0</v>
      </c>
      <c r="I10" s="86">
        <f>Tooted!M2</f>
        <v>0</v>
      </c>
      <c r="J10" s="86">
        <f>Tooted!N2</f>
        <v>0</v>
      </c>
      <c r="K10" s="86">
        <f>Tooted!O2</f>
        <v>0</v>
      </c>
      <c r="L10" s="86">
        <f>Tooted!P2</f>
        <v>0</v>
      </c>
      <c r="M10" s="86">
        <f>Tooted!Q2</f>
        <v>0</v>
      </c>
      <c r="N10" s="225">
        <f>SUM(B10:M10)</f>
        <v>0</v>
      </c>
      <c r="O10" s="225">
        <f>Tooted!S2</f>
        <v>0</v>
      </c>
      <c r="P10" s="225">
        <f>Tooted!T2</f>
        <v>0</v>
      </c>
      <c r="Q10" s="225">
        <f>Tooted!U2</f>
        <v>0</v>
      </c>
    </row>
    <row r="11" spans="1:17" s="83" customFormat="1" x14ac:dyDescent="0.2">
      <c r="A11" s="85" t="s">
        <v>52</v>
      </c>
      <c r="B11" s="86">
        <f>Tooted!F4</f>
        <v>0</v>
      </c>
      <c r="C11" s="86">
        <f>Tooted!G4</f>
        <v>0</v>
      </c>
      <c r="D11" s="86">
        <f>Tooted!H4</f>
        <v>0</v>
      </c>
      <c r="E11" s="86">
        <f>Tooted!I4</f>
        <v>0</v>
      </c>
      <c r="F11" s="86">
        <f>Tooted!J4</f>
        <v>0</v>
      </c>
      <c r="G11" s="86">
        <f>Tooted!K4</f>
        <v>0</v>
      </c>
      <c r="H11" s="86">
        <f>Tooted!L4</f>
        <v>0</v>
      </c>
      <c r="I11" s="86">
        <f>Tooted!M4</f>
        <v>0</v>
      </c>
      <c r="J11" s="86">
        <f>Tooted!N4</f>
        <v>0</v>
      </c>
      <c r="K11" s="86">
        <f>Tooted!O4</f>
        <v>0</v>
      </c>
      <c r="L11" s="86">
        <f>Tooted!P4</f>
        <v>0</v>
      </c>
      <c r="M11" s="86">
        <f>Tooted!Q4</f>
        <v>0</v>
      </c>
      <c r="N11" s="225">
        <f>IF(N7&gt;0,N7/N10,0)</f>
        <v>0</v>
      </c>
      <c r="O11" s="225">
        <f>Tooted!S4</f>
        <v>0</v>
      </c>
      <c r="P11" s="225">
        <f>Tooted!T4</f>
        <v>0</v>
      </c>
      <c r="Q11" s="225">
        <f>Tooted!U4</f>
        <v>0</v>
      </c>
    </row>
    <row r="12" spans="1:17" s="89" customFormat="1" x14ac:dyDescent="0.2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226"/>
      <c r="O12" s="226"/>
      <c r="P12" s="226"/>
      <c r="Q12" s="226"/>
    </row>
    <row r="13" spans="1:17" s="89" customFormat="1" x14ac:dyDescent="0.2">
      <c r="A13" s="90" t="s">
        <v>24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226"/>
      <c r="O13" s="226"/>
      <c r="P13" s="226"/>
      <c r="Q13" s="226"/>
    </row>
    <row r="14" spans="1:17" s="89" customFormat="1" x14ac:dyDescent="0.2">
      <c r="A14" s="81" t="s">
        <v>111</v>
      </c>
      <c r="B14" s="91">
        <f>B7-(B7*'Algandmed '!$B3/100)</f>
        <v>0</v>
      </c>
      <c r="C14" s="91">
        <f>IF(C7&gt;0,(C7-(C7*'Algandmed '!$B3/100)+(B7*'Algandmed '!$B3/100)),(B7*'Algandmed '!$B3/100))</f>
        <v>0</v>
      </c>
      <c r="D14" s="91">
        <f>IF(D7&gt;0,(D7-(D7*'Algandmed '!$B3/100)+(C7*'Algandmed '!$B3/100)),(C7*'Algandmed '!$B3/100))</f>
        <v>0</v>
      </c>
      <c r="E14" s="91">
        <f>IF(E7&gt;0,(E7-(E7*'Algandmed '!$B3/100)+(D7*'Algandmed '!$B3/100)),(D7*'Algandmed '!$B3/100))</f>
        <v>0</v>
      </c>
      <c r="F14" s="91">
        <f>IF(F7&gt;0,(F7-(F7*'Algandmed '!$B3/100)+(E7*'Algandmed '!$B3/100)),(E7*'Algandmed '!$B3/100))</f>
        <v>0</v>
      </c>
      <c r="G14" s="91">
        <f>IF(G7&gt;0,(G7-(G7*'Algandmed '!$B3/100)+(F7*'Algandmed '!$B3/100)),(F7*'Algandmed '!$B3/100))</f>
        <v>0</v>
      </c>
      <c r="H14" s="91">
        <f>IF(H7&gt;0,(H7-(H7*'Algandmed '!$B3/100)+(G7*'Algandmed '!$B3/100)),(G7*'Algandmed '!$B3/100))</f>
        <v>0</v>
      </c>
      <c r="I14" s="91">
        <f>IF(I7&gt;0,(I7-(I7*'Algandmed '!$B3/100)+(H7*'Algandmed '!$B3/100)),(H7*'Algandmed '!$B3/100))</f>
        <v>0</v>
      </c>
      <c r="J14" s="91">
        <f>IF(J7&gt;0,(J7-(J7*'Algandmed '!$B3/100)+(I7*'Algandmed '!$B3/100)),(I7*'Algandmed '!$B3/100))</f>
        <v>0</v>
      </c>
      <c r="K14" s="91">
        <f>IF(K7&gt;0,(K7-(K7*'Algandmed '!$B3/100)+(J7*'Algandmed '!$B3/100)),(J7*'Algandmed '!$B3/100))</f>
        <v>0</v>
      </c>
      <c r="L14" s="91">
        <f>IF(L7&gt;0,(L7-(L7*'Algandmed '!$B3/100)+(K7*'Algandmed '!$B3/100)),(K7*'Algandmed '!$B3/100))</f>
        <v>0</v>
      </c>
      <c r="M14" s="91">
        <f>IF(M7&gt;0,(M7-(M7*'Algandmed '!$B3/100)+(L7*'Algandmed '!$B3/100)),(L7*'Algandmed '!$B3/100))</f>
        <v>0</v>
      </c>
      <c r="N14" s="227">
        <f t="shared" ref="N14:N29" si="3">SUM(B14:M14)</f>
        <v>0</v>
      </c>
      <c r="O14" s="227">
        <f>(M7*'Algandmed '!$B3/100)+O7/12*11+((O7/12)*(1-'Algandmed '!$C3/100))</f>
        <v>0</v>
      </c>
      <c r="P14" s="227">
        <f>P7/12*11+(P7/12-((P7/12)*'Algandmed '!$C3/100)+((O7/12)*'Algandmed '!$D3/100))</f>
        <v>0</v>
      </c>
      <c r="Q14" s="227">
        <f>Q7/12*11+(Q7/12-((Q7/12)*'Algandmed '!$D3/100)+((P7/12)*'Algandmed '!$E3/100))</f>
        <v>0</v>
      </c>
    </row>
    <row r="15" spans="1:17" s="89" customFormat="1" x14ac:dyDescent="0.2">
      <c r="A15" s="92" t="s">
        <v>127</v>
      </c>
      <c r="B15" s="91">
        <f>IF('Algandmed '!$B2="jah",B14*B8,0)</f>
        <v>0</v>
      </c>
      <c r="C15" s="91">
        <f>IF('Algandmed '!$B2="jah",C14*C8,0)</f>
        <v>0</v>
      </c>
      <c r="D15" s="91">
        <f>IF('Algandmed '!$B2="jah",D14*D8,0)</f>
        <v>0</v>
      </c>
      <c r="E15" s="91">
        <f>IF('Algandmed '!$B2="jah",E14*E8,0)</f>
        <v>0</v>
      </c>
      <c r="F15" s="91">
        <f>IF('Algandmed '!$B2="jah",F14*F8,0)</f>
        <v>0</v>
      </c>
      <c r="G15" s="91">
        <f>IF('Algandmed '!$B2="jah",G14*G8,0)</f>
        <v>0</v>
      </c>
      <c r="H15" s="91">
        <f>IF('Algandmed '!$B2="jah",H14*H8,0)</f>
        <v>0</v>
      </c>
      <c r="I15" s="91">
        <f>IF('Algandmed '!$B2="jah",I14*I8,0)</f>
        <v>0</v>
      </c>
      <c r="J15" s="91">
        <f>IF('Algandmed '!$B2="jah",J14*J8,0)</f>
        <v>0</v>
      </c>
      <c r="K15" s="91">
        <f>IF('Algandmed '!$B2="jah",K14*K8,0)</f>
        <v>0</v>
      </c>
      <c r="L15" s="91">
        <f>IF('Algandmed '!$B2="jah",L14*L8,0)</f>
        <v>0</v>
      </c>
      <c r="M15" s="91">
        <f>IF('Algandmed '!$B2="jah",M14*M8,0)</f>
        <v>0</v>
      </c>
      <c r="N15" s="227">
        <f t="shared" si="3"/>
        <v>0</v>
      </c>
      <c r="O15" s="227">
        <f>IF('Algandmed '!C2="jah",O14*O8,0)</f>
        <v>0</v>
      </c>
      <c r="P15" s="227">
        <f>IF('Algandmed '!D2="jah",P14*P8,0)</f>
        <v>0</v>
      </c>
      <c r="Q15" s="227">
        <f>IF('Algandmed '!E2="jah",Q14*Q8,0)</f>
        <v>0</v>
      </c>
    </row>
    <row r="16" spans="1:17" s="89" customFormat="1" x14ac:dyDescent="0.2">
      <c r="A16" s="92" t="s">
        <v>201</v>
      </c>
      <c r="B16" s="91">
        <f>IF('Algandmed '!$B2="jah",Tooted!F9-Tooted!F9*'Algandmed '!$B3/100,0)</f>
        <v>0</v>
      </c>
      <c r="C16" s="91">
        <f>IF('Algandmed '!$B2="jah",Tooted!G9-Tooted!G9*'Algandmed '!$B3/100+Tooted!F9*'Algandmed '!$B3/100,0)</f>
        <v>0</v>
      </c>
      <c r="D16" s="91">
        <f>IF('Algandmed '!$B2="jah",Tooted!H9-Tooted!H9*'Algandmed '!$B3/100+Tooted!G9*'Algandmed '!$B3/100,0)</f>
        <v>0</v>
      </c>
      <c r="E16" s="91">
        <f>IF('Algandmed '!$B2="jah",Tooted!I9-Tooted!I9*'Algandmed '!$B3/100+Tooted!H9*'Algandmed '!$B3/100,0)</f>
        <v>0</v>
      </c>
      <c r="F16" s="91">
        <f>IF('Algandmed '!$B2="jah",Tooted!J9-Tooted!J9*'Algandmed '!$B3/100+Tooted!I9*'Algandmed '!$B3/100,0)</f>
        <v>0</v>
      </c>
      <c r="G16" s="91">
        <f>IF('Algandmed '!$B2="jah",Tooted!K9-Tooted!K9*'Algandmed '!$B3/100+Tooted!J9*'Algandmed '!$B3/100,0)</f>
        <v>0</v>
      </c>
      <c r="H16" s="91">
        <f>IF('Algandmed '!$B2="jah",Tooted!L9-Tooted!L9*'Algandmed '!$B3/100+Tooted!K9*'Algandmed '!$B3/100,0)</f>
        <v>0</v>
      </c>
      <c r="I16" s="91">
        <f>IF('Algandmed '!$B2="jah",Tooted!M9-Tooted!M9*'Algandmed '!$B3/100+Tooted!L9*'Algandmed '!$B3/100,0)</f>
        <v>0</v>
      </c>
      <c r="J16" s="91">
        <f>IF('Algandmed '!$B2="jah",Tooted!N9-Tooted!N9*'Algandmed '!$B3/100+Tooted!M9*'Algandmed '!$B3/100,0)</f>
        <v>0</v>
      </c>
      <c r="K16" s="91">
        <f>IF('Algandmed '!$B2="jah",Tooted!O9-Tooted!O9*'Algandmed '!$B3/100+Tooted!N9*'Algandmed '!$B3/100,0)</f>
        <v>0</v>
      </c>
      <c r="L16" s="91">
        <f>IF('Algandmed '!$B2="jah",Tooted!P9-Tooted!P9*'Algandmed '!$B3/100+Tooted!O9*'Algandmed '!$B3/100,0)</f>
        <v>0</v>
      </c>
      <c r="M16" s="91">
        <f>IF('Algandmed '!$B2="jah",Tooted!Q9-Tooted!Q9*'Algandmed '!$B3/100+Tooted!P9*'Algandmed '!$B3/100,0)</f>
        <v>0</v>
      </c>
      <c r="N16" s="227">
        <f t="shared" si="3"/>
        <v>0</v>
      </c>
      <c r="O16" s="227">
        <f>IF('Algandmed '!C2="jah",Tooted!S9-Tooted!S9*'Algandmed '!C3/100+Tooted!Q9*'Algandmed '!B3/100,0)</f>
        <v>0</v>
      </c>
      <c r="P16" s="227">
        <f>IF('Algandmed '!D2="jah",Tooted!T9-Tooted!T9*'Algandmed '!D3/100+Tooted!S9*'Algandmed '!C3/100,0)</f>
        <v>0</v>
      </c>
      <c r="Q16" s="227">
        <f>IF('Algandmed '!E2="jah",Tooted!U9-Tooted!U9*'Algandmed '!E3/100+Tooted!T9*'Algandmed '!D3/100,0)</f>
        <v>0</v>
      </c>
    </row>
    <row r="17" spans="1:17" s="89" customFormat="1" x14ac:dyDescent="0.2">
      <c r="A17" s="92" t="s">
        <v>203</v>
      </c>
      <c r="B17" s="91">
        <f>IF(AND('Algandmed '!$B2="jah",SUM(B15:B16)&gt;=0),B14-SUM(B15:B16),0)</f>
        <v>0</v>
      </c>
      <c r="C17" s="91">
        <f>IF(AND('Algandmed '!$B2="jah",SUM(C15:C16)&gt;=0),C14-SUM(C15:C16),0)</f>
        <v>0</v>
      </c>
      <c r="D17" s="91">
        <f>IF(AND('Algandmed '!$B2="jah",SUM(D15:D16)&gt;=0),D14-SUM(D15:D16),0)</f>
        <v>0</v>
      </c>
      <c r="E17" s="91">
        <f>IF(AND('Algandmed '!$B2="jah",SUM(E15:E16)&gt;=0),E14-SUM(E15:E16),0)</f>
        <v>0</v>
      </c>
      <c r="F17" s="91">
        <f>IF(AND('Algandmed '!$B2="jah",SUM(F15:F16)&gt;=0),F14-SUM(F15:F16),0)</f>
        <v>0</v>
      </c>
      <c r="G17" s="91">
        <f>IF(AND('Algandmed '!$B2="jah",SUM(G15:G16)&gt;=0),G14-SUM(G15:G16),0)</f>
        <v>0</v>
      </c>
      <c r="H17" s="91">
        <f>IF(AND('Algandmed '!$B2="jah",SUM(H15:H16)&gt;=0),H14-SUM(H15:H16),0)</f>
        <v>0</v>
      </c>
      <c r="I17" s="91">
        <f>IF(AND('Algandmed '!$B2="jah",SUM(I15:I16)&gt;=0),I14-SUM(I15:I16),0)</f>
        <v>0</v>
      </c>
      <c r="J17" s="91">
        <f>IF(AND('Algandmed '!$B2="jah",SUM(J15:J16)&gt;=0),J14-SUM(J15:J16),0)</f>
        <v>0</v>
      </c>
      <c r="K17" s="91">
        <f>IF(AND('Algandmed '!$B2="jah",SUM(K15:K16)&gt;=0),K14-SUM(K15:K16),0)</f>
        <v>0</v>
      </c>
      <c r="L17" s="91">
        <f>IF(AND('Algandmed '!$B2="jah",SUM(L15:L16)&gt;=0),L14-SUM(L15:L16),0)</f>
        <v>0</v>
      </c>
      <c r="M17" s="91">
        <f>IF(AND('Algandmed '!$B2="jah",SUM(M15:M16)&gt;=0),M14-SUM(M15:M16),0)</f>
        <v>0</v>
      </c>
      <c r="N17" s="227">
        <f t="shared" si="3"/>
        <v>0</v>
      </c>
      <c r="O17" s="227">
        <f>IF(AND('Algandmed '!C2="jah",SUM(O15:O16)&gt;=0),O14-SUM(O15:O16),0)</f>
        <v>0</v>
      </c>
      <c r="P17" s="227">
        <f>IF(AND('Algandmed '!D2="jah",SUM(P15:P16)&gt;=0),P14-SUM(P15:P16),0)</f>
        <v>0</v>
      </c>
      <c r="Q17" s="227">
        <f>IF(AND('Algandmed '!E2="jah",SUM(Q15:Q16)&gt;=0),Q14-SUM(Q15:Q16),0)</f>
        <v>0</v>
      </c>
    </row>
    <row r="18" spans="1:17" s="83" customFormat="1" x14ac:dyDescent="0.2">
      <c r="A18" s="81" t="s">
        <v>5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227">
        <f t="shared" si="3"/>
        <v>0</v>
      </c>
      <c r="O18" s="228"/>
      <c r="P18" s="228"/>
      <c r="Q18" s="228"/>
    </row>
    <row r="19" spans="1:17" s="83" customFormat="1" x14ac:dyDescent="0.2">
      <c r="A19" s="94" t="s">
        <v>6</v>
      </c>
      <c r="B19" s="91">
        <f>IF('Algandmed '!$B2="jah",ROUND(B17*0.2+B16*0.09,0),0)</f>
        <v>0</v>
      </c>
      <c r="C19" s="91">
        <f>IF('Algandmed '!$B2="jah",ROUND(C17*0.2+C16*0.09,0),0)</f>
        <v>0</v>
      </c>
      <c r="D19" s="91">
        <f>IF('Algandmed '!$B2="jah",ROUND(D17*0.2+D16*0.09,0),0)</f>
        <v>0</v>
      </c>
      <c r="E19" s="91">
        <f>IF('Algandmed '!$B2="jah",ROUND(E17*0.2+E16*0.09,0),0)</f>
        <v>0</v>
      </c>
      <c r="F19" s="91">
        <f>IF('Algandmed '!$B2="jah",ROUND(F17*0.2+F16*0.09,0),0)</f>
        <v>0</v>
      </c>
      <c r="G19" s="91">
        <f>IF('Algandmed '!$B2="jah",ROUND(G17*0.2+G16*0.09,0),0)</f>
        <v>0</v>
      </c>
      <c r="H19" s="91">
        <f>IF('Algandmed '!$B2="jah",ROUND(H17*0.2+H16*0.09,0),0)</f>
        <v>0</v>
      </c>
      <c r="I19" s="91">
        <f>IF('Algandmed '!$B2="jah",ROUND(I17*0.2+I16*0.09,0),0)</f>
        <v>0</v>
      </c>
      <c r="J19" s="91">
        <f>IF('Algandmed '!$B2="jah",ROUND(J17*0.2+J16*0.09,0),0)</f>
        <v>0</v>
      </c>
      <c r="K19" s="91">
        <f>IF('Algandmed '!$B2="jah",ROUND(K17*0.2+K16*0.09,0),0)</f>
        <v>0</v>
      </c>
      <c r="L19" s="91">
        <f>IF('Algandmed '!$B2="jah",ROUND(L17*0.2+L16*0.09,0),0)</f>
        <v>0</v>
      </c>
      <c r="M19" s="91">
        <f>IF('Algandmed '!$B2="jah",ROUND(M17*0.2+M16*0.09,0),0)</f>
        <v>0</v>
      </c>
      <c r="N19" s="227">
        <f t="shared" si="3"/>
        <v>0</v>
      </c>
      <c r="O19" s="227">
        <f>IF('Algandmed '!$C2="jah",ROUND(O17*0.2+O16*0.09,0),0)</f>
        <v>0</v>
      </c>
      <c r="P19" s="227">
        <f>IF('Algandmed '!$D2="jah",ROUND(P17*0.2+P16*0.09,0),0)</f>
        <v>0</v>
      </c>
      <c r="Q19" s="227">
        <f>IF('Algandmed '!$E2="jah",ROUND(Q17*0.2+Q16*0.09,0),0)</f>
        <v>0</v>
      </c>
    </row>
    <row r="20" spans="1:17" s="83" customFormat="1" x14ac:dyDescent="0.2">
      <c r="A20" s="81" t="s">
        <v>7</v>
      </c>
      <c r="B20" s="95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227">
        <f t="shared" si="3"/>
        <v>0</v>
      </c>
      <c r="O20" s="228"/>
      <c r="P20" s="228"/>
      <c r="Q20" s="228"/>
    </row>
    <row r="21" spans="1:17" s="83" customFormat="1" x14ac:dyDescent="0.2">
      <c r="A21" s="81" t="s">
        <v>103</v>
      </c>
      <c r="B21" s="95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227">
        <f t="shared" si="3"/>
        <v>0</v>
      </c>
      <c r="O21" s="228"/>
      <c r="P21" s="228"/>
      <c r="Q21" s="228"/>
    </row>
    <row r="22" spans="1:17" s="83" customFormat="1" x14ac:dyDescent="0.2">
      <c r="A22" s="81" t="s">
        <v>104</v>
      </c>
      <c r="B22" s="95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227">
        <f t="shared" si="3"/>
        <v>0</v>
      </c>
      <c r="O22" s="228"/>
      <c r="P22" s="228"/>
      <c r="Q22" s="228"/>
    </row>
    <row r="23" spans="1:17" s="83" customFormat="1" ht="22.5" x14ac:dyDescent="0.2">
      <c r="A23" s="96" t="s">
        <v>171</v>
      </c>
      <c r="B23" s="95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227">
        <f t="shared" si="3"/>
        <v>0</v>
      </c>
      <c r="O23" s="228"/>
      <c r="P23" s="228"/>
      <c r="Q23" s="228"/>
    </row>
    <row r="24" spans="1:17" s="83" customFormat="1" x14ac:dyDescent="0.2">
      <c r="A24" s="96" t="s">
        <v>172</v>
      </c>
      <c r="B24" s="95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227">
        <f t="shared" si="3"/>
        <v>0</v>
      </c>
      <c r="O24" s="228"/>
      <c r="P24" s="228"/>
      <c r="Q24" s="228"/>
    </row>
    <row r="25" spans="1:17" s="83" customFormat="1" x14ac:dyDescent="0.2">
      <c r="A25" s="81" t="s">
        <v>195</v>
      </c>
      <c r="B25" s="95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227">
        <f t="shared" si="3"/>
        <v>0</v>
      </c>
      <c r="O25" s="228"/>
      <c r="P25" s="228"/>
      <c r="Q25" s="228"/>
    </row>
    <row r="26" spans="1:17" s="338" customFormat="1" x14ac:dyDescent="0.2">
      <c r="A26" s="115" t="s">
        <v>250</v>
      </c>
      <c r="B26" s="335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336">
        <f>SUM(B26:M26)</f>
        <v>0</v>
      </c>
      <c r="O26" s="337"/>
      <c r="P26" s="337"/>
      <c r="Q26" s="337"/>
    </row>
    <row r="27" spans="1:17" s="83" customFormat="1" x14ac:dyDescent="0.2">
      <c r="A27" s="81" t="s">
        <v>248</v>
      </c>
      <c r="B27" s="95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227">
        <f t="shared" si="3"/>
        <v>0</v>
      </c>
      <c r="O27" s="228"/>
      <c r="P27" s="228"/>
      <c r="Q27" s="228"/>
    </row>
    <row r="28" spans="1:17" s="83" customFormat="1" x14ac:dyDescent="0.2">
      <c r="A28" s="81" t="s">
        <v>249</v>
      </c>
      <c r="B28" s="95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227">
        <f t="shared" si="3"/>
        <v>0</v>
      </c>
      <c r="O28" s="228"/>
      <c r="P28" s="228"/>
      <c r="Q28" s="228"/>
    </row>
    <row r="29" spans="1:17" s="83" customFormat="1" x14ac:dyDescent="0.2">
      <c r="A29" s="81" t="s">
        <v>113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227">
        <f t="shared" si="3"/>
        <v>0</v>
      </c>
      <c r="O29" s="228"/>
      <c r="P29" s="228"/>
      <c r="Q29" s="228"/>
    </row>
    <row r="30" spans="1:17" s="98" customFormat="1" x14ac:dyDescent="0.2">
      <c r="A30" s="97" t="s">
        <v>8</v>
      </c>
      <c r="B30" s="91">
        <f t="shared" ref="B30:H30" si="4">B14+SUM(B18:B29)</f>
        <v>0</v>
      </c>
      <c r="C30" s="91">
        <f t="shared" si="4"/>
        <v>0</v>
      </c>
      <c r="D30" s="91">
        <f t="shared" si="4"/>
        <v>0</v>
      </c>
      <c r="E30" s="91">
        <f t="shared" si="4"/>
        <v>0</v>
      </c>
      <c r="F30" s="91">
        <f t="shared" si="4"/>
        <v>0</v>
      </c>
      <c r="G30" s="91">
        <f t="shared" si="4"/>
        <v>0</v>
      </c>
      <c r="H30" s="91">
        <f t="shared" si="4"/>
        <v>0</v>
      </c>
      <c r="I30" s="91">
        <f>I14+SUM(I18:I29)</f>
        <v>0</v>
      </c>
      <c r="J30" s="91">
        <f>J14+SUM(J18:J29)</f>
        <v>0</v>
      </c>
      <c r="K30" s="91">
        <f>K14+SUM(K18:K29)</f>
        <v>0</v>
      </c>
      <c r="L30" s="91">
        <f>L14+SUM(L18:L29)</f>
        <v>0</v>
      </c>
      <c r="M30" s="91">
        <f>M14+SUM(M18:M29)</f>
        <v>0</v>
      </c>
      <c r="N30" s="227">
        <f>IF((SUM(N14:N29)-SUM(N15:N17))=SUM(B30:M30),SUM(B30:M30),"viga")</f>
        <v>0</v>
      </c>
      <c r="O30" s="227">
        <f>SUM(O14:O29)-SUM(O15:O17)</f>
        <v>0</v>
      </c>
      <c r="P30" s="227">
        <f>SUM(P14:P29)-SUM(P15:P17)</f>
        <v>0</v>
      </c>
      <c r="Q30" s="227">
        <f>SUM(Q14:Q29)-SUM(Q15:Q17)</f>
        <v>0</v>
      </c>
    </row>
    <row r="31" spans="1:17" s="101" customFormat="1" x14ac:dyDescent="0.2">
      <c r="A31" s="99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67"/>
      <c r="O31" s="167"/>
      <c r="P31" s="167"/>
      <c r="Q31" s="167"/>
    </row>
    <row r="32" spans="1:17" x14ac:dyDescent="0.2">
      <c r="A32" s="90" t="s">
        <v>25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168"/>
      <c r="O32" s="168"/>
      <c r="P32" s="168"/>
      <c r="Q32" s="168"/>
    </row>
    <row r="33" spans="1:17" x14ac:dyDescent="0.2">
      <c r="A33" s="102" t="s">
        <v>49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168"/>
      <c r="O33" s="168"/>
      <c r="P33" s="168"/>
      <c r="Q33" s="168"/>
    </row>
    <row r="34" spans="1:17" s="74" customFormat="1" x14ac:dyDescent="0.2">
      <c r="A34" s="75" t="s">
        <v>180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168"/>
      <c r="O34" s="168"/>
      <c r="P34" s="168"/>
      <c r="Q34" s="168"/>
    </row>
    <row r="35" spans="1:17" ht="22.5" x14ac:dyDescent="0.2">
      <c r="A35" s="96" t="s">
        <v>174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227">
        <f t="shared" ref="N35:N41" si="5">SUM(B35:M35)</f>
        <v>0</v>
      </c>
      <c r="O35" s="228"/>
      <c r="P35" s="228"/>
      <c r="Q35" s="228"/>
    </row>
    <row r="36" spans="1:17" ht="22.5" x14ac:dyDescent="0.2">
      <c r="A36" s="96" t="s">
        <v>197</v>
      </c>
      <c r="B36" s="86">
        <f t="shared" ref="B36:M36" si="6">IF(B23&gt;0,B23,0)</f>
        <v>0</v>
      </c>
      <c r="C36" s="86">
        <f t="shared" si="6"/>
        <v>0</v>
      </c>
      <c r="D36" s="86">
        <f t="shared" si="6"/>
        <v>0</v>
      </c>
      <c r="E36" s="86">
        <f t="shared" si="6"/>
        <v>0</v>
      </c>
      <c r="F36" s="86">
        <f t="shared" si="6"/>
        <v>0</v>
      </c>
      <c r="G36" s="86">
        <f t="shared" si="6"/>
        <v>0</v>
      </c>
      <c r="H36" s="86">
        <f t="shared" si="6"/>
        <v>0</v>
      </c>
      <c r="I36" s="86">
        <f t="shared" si="6"/>
        <v>0</v>
      </c>
      <c r="J36" s="86">
        <f t="shared" si="6"/>
        <v>0</v>
      </c>
      <c r="K36" s="86">
        <f t="shared" si="6"/>
        <v>0</v>
      </c>
      <c r="L36" s="86">
        <f t="shared" si="6"/>
        <v>0</v>
      </c>
      <c r="M36" s="86">
        <f t="shared" si="6"/>
        <v>0</v>
      </c>
      <c r="N36" s="227">
        <f t="shared" si="5"/>
        <v>0</v>
      </c>
      <c r="O36" s="225">
        <f t="shared" ref="O36:Q37" si="7">IF(O23&gt;0,O23,0)</f>
        <v>0</v>
      </c>
      <c r="P36" s="225">
        <f t="shared" si="7"/>
        <v>0</v>
      </c>
      <c r="Q36" s="225">
        <f t="shared" si="7"/>
        <v>0</v>
      </c>
    </row>
    <row r="37" spans="1:17" x14ac:dyDescent="0.2">
      <c r="A37" s="96" t="s">
        <v>196</v>
      </c>
      <c r="B37" s="86">
        <f>IF(B24&gt;0,B24,0)</f>
        <v>0</v>
      </c>
      <c r="C37" s="86">
        <f t="shared" ref="C37:N37" si="8">IF(C24&gt;0,C24,0)</f>
        <v>0</v>
      </c>
      <c r="D37" s="86">
        <f t="shared" si="8"/>
        <v>0</v>
      </c>
      <c r="E37" s="86">
        <f t="shared" si="8"/>
        <v>0</v>
      </c>
      <c r="F37" s="86">
        <f t="shared" si="8"/>
        <v>0</v>
      </c>
      <c r="G37" s="86">
        <f t="shared" si="8"/>
        <v>0</v>
      </c>
      <c r="H37" s="86">
        <f t="shared" si="8"/>
        <v>0</v>
      </c>
      <c r="I37" s="86">
        <f t="shared" si="8"/>
        <v>0</v>
      </c>
      <c r="J37" s="86">
        <f t="shared" si="8"/>
        <v>0</v>
      </c>
      <c r="K37" s="86">
        <f t="shared" si="8"/>
        <v>0</v>
      </c>
      <c r="L37" s="86">
        <f t="shared" si="8"/>
        <v>0</v>
      </c>
      <c r="M37" s="86">
        <f t="shared" si="8"/>
        <v>0</v>
      </c>
      <c r="N37" s="225">
        <f t="shared" si="8"/>
        <v>0</v>
      </c>
      <c r="O37" s="225">
        <f t="shared" si="7"/>
        <v>0</v>
      </c>
      <c r="P37" s="225">
        <f t="shared" si="7"/>
        <v>0</v>
      </c>
      <c r="Q37" s="225">
        <f t="shared" si="7"/>
        <v>0</v>
      </c>
    </row>
    <row r="38" spans="1:17" ht="22.5" x14ac:dyDescent="0.2">
      <c r="A38" s="103" t="s">
        <v>251</v>
      </c>
      <c r="B38" s="86">
        <f>IF(B27&gt;0,B27,0)</f>
        <v>0</v>
      </c>
      <c r="C38" s="86">
        <f t="shared" ref="C38:Q38" si="9">IF(C27&gt;0,C27,0)</f>
        <v>0</v>
      </c>
      <c r="D38" s="86">
        <f t="shared" si="9"/>
        <v>0</v>
      </c>
      <c r="E38" s="86">
        <f t="shared" si="9"/>
        <v>0</v>
      </c>
      <c r="F38" s="86">
        <f t="shared" si="9"/>
        <v>0</v>
      </c>
      <c r="G38" s="86">
        <f t="shared" si="9"/>
        <v>0</v>
      </c>
      <c r="H38" s="86">
        <f t="shared" si="9"/>
        <v>0</v>
      </c>
      <c r="I38" s="86">
        <f t="shared" si="9"/>
        <v>0</v>
      </c>
      <c r="J38" s="86">
        <f t="shared" si="9"/>
        <v>0</v>
      </c>
      <c r="K38" s="86">
        <f t="shared" si="9"/>
        <v>0</v>
      </c>
      <c r="L38" s="86">
        <f t="shared" si="9"/>
        <v>0</v>
      </c>
      <c r="M38" s="86">
        <f t="shared" si="9"/>
        <v>0</v>
      </c>
      <c r="N38" s="227">
        <f t="shared" si="5"/>
        <v>0</v>
      </c>
      <c r="O38" s="225">
        <f t="shared" si="9"/>
        <v>0</v>
      </c>
      <c r="P38" s="225">
        <f t="shared" si="9"/>
        <v>0</v>
      </c>
      <c r="Q38" s="225">
        <f t="shared" si="9"/>
        <v>0</v>
      </c>
    </row>
    <row r="39" spans="1:17" ht="22.5" x14ac:dyDescent="0.2">
      <c r="A39" s="96" t="s">
        <v>173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227">
        <f t="shared" si="5"/>
        <v>0</v>
      </c>
      <c r="O39" s="228"/>
      <c r="P39" s="228"/>
      <c r="Q39" s="228"/>
    </row>
    <row r="40" spans="1:17" x14ac:dyDescent="0.2">
      <c r="A40" s="81" t="s">
        <v>36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227">
        <f t="shared" si="5"/>
        <v>0</v>
      </c>
      <c r="O40" s="228"/>
      <c r="P40" s="228"/>
      <c r="Q40" s="228"/>
    </row>
    <row r="41" spans="1:17" x14ac:dyDescent="0.2">
      <c r="A41" s="81" t="s">
        <v>35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227">
        <f t="shared" si="5"/>
        <v>0</v>
      </c>
      <c r="O41" s="228"/>
      <c r="P41" s="228"/>
      <c r="Q41" s="228"/>
    </row>
    <row r="42" spans="1:17" ht="22.5" x14ac:dyDescent="0.2">
      <c r="A42" s="104" t="s">
        <v>181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240"/>
      <c r="O42" s="229"/>
      <c r="P42" s="229"/>
      <c r="Q42" s="229"/>
    </row>
    <row r="43" spans="1:17" ht="22.5" x14ac:dyDescent="0.2">
      <c r="A43" s="103" t="s">
        <v>252</v>
      </c>
      <c r="B43" s="106">
        <f>IF(B28&gt;0,B28,0)</f>
        <v>0</v>
      </c>
      <c r="C43" s="106">
        <f t="shared" ref="C43:M43" si="10">IF(C28&gt;0,C28,0)</f>
        <v>0</v>
      </c>
      <c r="D43" s="106">
        <f t="shared" si="10"/>
        <v>0</v>
      </c>
      <c r="E43" s="106">
        <f t="shared" si="10"/>
        <v>0</v>
      </c>
      <c r="F43" s="106">
        <f t="shared" si="10"/>
        <v>0</v>
      </c>
      <c r="G43" s="106">
        <f t="shared" si="10"/>
        <v>0</v>
      </c>
      <c r="H43" s="106">
        <f t="shared" si="10"/>
        <v>0</v>
      </c>
      <c r="I43" s="106">
        <f t="shared" si="10"/>
        <v>0</v>
      </c>
      <c r="J43" s="106">
        <f t="shared" si="10"/>
        <v>0</v>
      </c>
      <c r="K43" s="106">
        <f t="shared" si="10"/>
        <v>0</v>
      </c>
      <c r="L43" s="106">
        <f t="shared" si="10"/>
        <v>0</v>
      </c>
      <c r="M43" s="106">
        <f t="shared" si="10"/>
        <v>0</v>
      </c>
      <c r="N43" s="230">
        <f>SUM(B43:M43)</f>
        <v>0</v>
      </c>
      <c r="O43" s="230">
        <f>IF(O28&gt;0,O28,0)</f>
        <v>0</v>
      </c>
      <c r="P43" s="230">
        <f>IF(P28&gt;0,P28,0)</f>
        <v>0</v>
      </c>
      <c r="Q43" s="230">
        <f>IF(Q28&gt;0,Q28,0)</f>
        <v>0</v>
      </c>
    </row>
    <row r="44" spans="1:17" x14ac:dyDescent="0.2">
      <c r="A44" s="81" t="s">
        <v>182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227">
        <f>SUM(B44:M44)</f>
        <v>0</v>
      </c>
      <c r="O44" s="228"/>
      <c r="P44" s="228"/>
      <c r="Q44" s="228"/>
    </row>
    <row r="45" spans="1:17" x14ac:dyDescent="0.2">
      <c r="A45" s="10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168"/>
      <c r="O45" s="168"/>
      <c r="P45" s="168"/>
      <c r="Q45" s="168"/>
    </row>
    <row r="46" spans="1:17" x14ac:dyDescent="0.2">
      <c r="A46" s="108" t="s">
        <v>26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168"/>
      <c r="O46" s="168"/>
      <c r="P46" s="168"/>
      <c r="Q46" s="168"/>
    </row>
    <row r="47" spans="1:17" s="74" customFormat="1" x14ac:dyDescent="0.2">
      <c r="A47" s="75" t="s">
        <v>28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168"/>
      <c r="O47" s="168"/>
      <c r="P47" s="168"/>
      <c r="Q47" s="168"/>
    </row>
    <row r="48" spans="1:17" s="74" customFormat="1" x14ac:dyDescent="0.2">
      <c r="A48" s="81" t="s">
        <v>9</v>
      </c>
      <c r="B48" s="109">
        <f>Tooted!F8</f>
        <v>0</v>
      </c>
      <c r="C48" s="109">
        <f>Tooted!G8</f>
        <v>0</v>
      </c>
      <c r="D48" s="109">
        <f>Tooted!H8</f>
        <v>0</v>
      </c>
      <c r="E48" s="109">
        <f>Tooted!I8</f>
        <v>0</v>
      </c>
      <c r="F48" s="109">
        <f>Tooted!J8</f>
        <v>0</v>
      </c>
      <c r="G48" s="109">
        <f>Tooted!K8</f>
        <v>0</v>
      </c>
      <c r="H48" s="109">
        <f>Tooted!L8</f>
        <v>0</v>
      </c>
      <c r="I48" s="109">
        <f>Tooted!M8</f>
        <v>0</v>
      </c>
      <c r="J48" s="109">
        <f>Tooted!N8</f>
        <v>0</v>
      </c>
      <c r="K48" s="109">
        <f>Tooted!O8</f>
        <v>0</v>
      </c>
      <c r="L48" s="109">
        <f>Tooted!P8</f>
        <v>0</v>
      </c>
      <c r="M48" s="109">
        <f>Tooted!Q8</f>
        <v>0</v>
      </c>
      <c r="N48" s="227">
        <f>SUM(B48:M48)</f>
        <v>0</v>
      </c>
      <c r="O48" s="231">
        <f>Tooted!S8</f>
        <v>0</v>
      </c>
      <c r="P48" s="231">
        <f>Tooted!T8</f>
        <v>0</v>
      </c>
      <c r="Q48" s="231">
        <f>Tooted!U8</f>
        <v>0</v>
      </c>
    </row>
    <row r="49" spans="1:17" x14ac:dyDescent="0.2">
      <c r="A49" s="81" t="s">
        <v>29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227">
        <f>SUM(B49:M49)</f>
        <v>0</v>
      </c>
      <c r="O49" s="228"/>
      <c r="P49" s="228"/>
      <c r="Q49" s="228"/>
    </row>
    <row r="50" spans="1:17" x14ac:dyDescent="0.2">
      <c r="A50" s="110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240"/>
      <c r="O50" s="229"/>
      <c r="P50" s="229"/>
      <c r="Q50" s="229"/>
    </row>
    <row r="51" spans="1:17" s="74" customFormat="1" x14ac:dyDescent="0.2">
      <c r="A51" s="10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168"/>
      <c r="O51" s="168"/>
      <c r="P51" s="168"/>
      <c r="Q51" s="168"/>
    </row>
    <row r="52" spans="1:17" s="74" customFormat="1" x14ac:dyDescent="0.2">
      <c r="A52" s="75" t="s">
        <v>27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168"/>
      <c r="O52" s="168"/>
      <c r="P52" s="168"/>
      <c r="Q52" s="168"/>
    </row>
    <row r="53" spans="1:17" s="74" customFormat="1" x14ac:dyDescent="0.2">
      <c r="A53" s="81" t="s">
        <v>21</v>
      </c>
      <c r="B53" s="116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227">
        <f>SUM(B53:M53)</f>
        <v>0</v>
      </c>
      <c r="O53" s="228"/>
      <c r="P53" s="228"/>
      <c r="Q53" s="228"/>
    </row>
    <row r="54" spans="1:17" s="74" customFormat="1" x14ac:dyDescent="0.2">
      <c r="A54" s="81" t="s">
        <v>32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227">
        <f>SUM(B54:M54)</f>
        <v>0</v>
      </c>
      <c r="O54" s="228"/>
      <c r="P54" s="228"/>
      <c r="Q54" s="228"/>
    </row>
    <row r="55" spans="1:17" s="74" customFormat="1" x14ac:dyDescent="0.2">
      <c r="A55" s="81" t="s">
        <v>33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227">
        <f>SUM(B55:M55)</f>
        <v>0</v>
      </c>
      <c r="O55" s="228"/>
      <c r="P55" s="228"/>
      <c r="Q55" s="228"/>
    </row>
    <row r="56" spans="1:17" s="74" customFormat="1" ht="3" customHeight="1" x14ac:dyDescent="0.2">
      <c r="A56" s="10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240">
        <f>SUM(B56:M56)</f>
        <v>0</v>
      </c>
      <c r="O56" s="168"/>
      <c r="P56" s="168"/>
      <c r="Q56" s="168"/>
    </row>
    <row r="57" spans="1:17" s="74" customFormat="1" x14ac:dyDescent="0.2">
      <c r="A57" s="111" t="s">
        <v>31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240"/>
      <c r="O57" s="168"/>
      <c r="P57" s="168"/>
      <c r="Q57" s="168"/>
    </row>
    <row r="58" spans="1:17" s="74" customFormat="1" x14ac:dyDescent="0.2">
      <c r="A58" s="112" t="s">
        <v>175</v>
      </c>
      <c r="B58" s="113">
        <f>IF(B25&gt;0,B25,0)</f>
        <v>0</v>
      </c>
      <c r="C58" s="113">
        <f t="shared" ref="C58:M58" si="11">IF(C25&gt;0,C25,0)</f>
        <v>0</v>
      </c>
      <c r="D58" s="113">
        <f t="shared" si="11"/>
        <v>0</v>
      </c>
      <c r="E58" s="113">
        <f t="shared" si="11"/>
        <v>0</v>
      </c>
      <c r="F58" s="113">
        <f t="shared" si="11"/>
        <v>0</v>
      </c>
      <c r="G58" s="113">
        <f t="shared" si="11"/>
        <v>0</v>
      </c>
      <c r="H58" s="113">
        <f t="shared" si="11"/>
        <v>0</v>
      </c>
      <c r="I58" s="113">
        <f t="shared" si="11"/>
        <v>0</v>
      </c>
      <c r="J58" s="113">
        <f t="shared" si="11"/>
        <v>0</v>
      </c>
      <c r="K58" s="113">
        <f t="shared" si="11"/>
        <v>0</v>
      </c>
      <c r="L58" s="113">
        <f t="shared" si="11"/>
        <v>0</v>
      </c>
      <c r="M58" s="113">
        <f t="shared" si="11"/>
        <v>0</v>
      </c>
      <c r="N58" s="227">
        <f>SUM(B58:M58)</f>
        <v>0</v>
      </c>
      <c r="O58" s="232">
        <f>IF(O25&gt;0,O25,0)</f>
        <v>0</v>
      </c>
      <c r="P58" s="232">
        <f>IF(P25&gt;0,P25,0)</f>
        <v>0</v>
      </c>
      <c r="Q58" s="232">
        <f>IF(Q25&gt;0,Q25,0)</f>
        <v>0</v>
      </c>
    </row>
    <row r="59" spans="1:17" s="74" customFormat="1" x14ac:dyDescent="0.2">
      <c r="A59" s="114" t="s">
        <v>42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168"/>
      <c r="O59" s="168"/>
      <c r="P59" s="168"/>
      <c r="Q59" s="168"/>
    </row>
    <row r="60" spans="1:17" x14ac:dyDescent="0.2">
      <c r="A60" s="81" t="s">
        <v>10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227">
        <f>SUM(B60:M60)</f>
        <v>0</v>
      </c>
      <c r="O60" s="228"/>
      <c r="P60" s="228"/>
      <c r="Q60" s="228"/>
    </row>
    <row r="61" spans="1:17" x14ac:dyDescent="0.2">
      <c r="A61" s="81" t="s">
        <v>11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227">
        <f t="shared" ref="N61:N66" si="12">SUM(B61:M61)</f>
        <v>0</v>
      </c>
      <c r="O61" s="228"/>
      <c r="P61" s="228"/>
      <c r="Q61" s="228"/>
    </row>
    <row r="62" spans="1:17" x14ac:dyDescent="0.2">
      <c r="A62" s="81" t="s">
        <v>12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227">
        <f t="shared" si="12"/>
        <v>0</v>
      </c>
      <c r="O62" s="228"/>
      <c r="P62" s="228"/>
      <c r="Q62" s="228"/>
    </row>
    <row r="63" spans="1:17" x14ac:dyDescent="0.2">
      <c r="A63" s="81" t="s">
        <v>40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227">
        <f t="shared" si="12"/>
        <v>0</v>
      </c>
      <c r="O63" s="228"/>
      <c r="P63" s="228"/>
      <c r="Q63" s="228"/>
    </row>
    <row r="64" spans="1:17" x14ac:dyDescent="0.2">
      <c r="A64" s="81" t="s">
        <v>37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227">
        <f t="shared" si="12"/>
        <v>0</v>
      </c>
      <c r="O64" s="228"/>
      <c r="P64" s="228"/>
      <c r="Q64" s="228"/>
    </row>
    <row r="65" spans="1:17" x14ac:dyDescent="0.2">
      <c r="A65" s="81" t="s">
        <v>46</v>
      </c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227">
        <f t="shared" si="12"/>
        <v>0</v>
      </c>
      <c r="O65" s="228"/>
      <c r="P65" s="228"/>
      <c r="Q65" s="228"/>
    </row>
    <row r="66" spans="1:17" x14ac:dyDescent="0.2">
      <c r="A66" s="81" t="s">
        <v>43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227">
        <f t="shared" si="12"/>
        <v>0</v>
      </c>
      <c r="O66" s="228"/>
      <c r="P66" s="228"/>
      <c r="Q66" s="228"/>
    </row>
    <row r="67" spans="1:17" s="74" customFormat="1" x14ac:dyDescent="0.2">
      <c r="A67" s="114" t="s">
        <v>30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68"/>
      <c r="O67" s="229"/>
      <c r="P67" s="229"/>
      <c r="Q67" s="229"/>
    </row>
    <row r="68" spans="1:17" x14ac:dyDescent="0.2">
      <c r="A68" s="81" t="s">
        <v>13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227">
        <f>SUM(B68:M68)</f>
        <v>0</v>
      </c>
      <c r="O68" s="228"/>
      <c r="P68" s="228"/>
      <c r="Q68" s="228"/>
    </row>
    <row r="69" spans="1:17" x14ac:dyDescent="0.2">
      <c r="A69" s="81" t="s">
        <v>14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227">
        <f>SUM(B69:M69)</f>
        <v>0</v>
      </c>
      <c r="O69" s="228"/>
      <c r="P69" s="228"/>
      <c r="Q69" s="228"/>
    </row>
    <row r="70" spans="1:17" x14ac:dyDescent="0.2">
      <c r="A70" s="81" t="s">
        <v>15</v>
      </c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227">
        <f>SUM(B70:M70)</f>
        <v>0</v>
      </c>
      <c r="O70" s="228"/>
      <c r="P70" s="228"/>
      <c r="Q70" s="228"/>
    </row>
    <row r="71" spans="1:17" x14ac:dyDescent="0.2">
      <c r="A71" s="81" t="s">
        <v>16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227">
        <f>SUM(B71:M71)</f>
        <v>0</v>
      </c>
      <c r="O71" s="228"/>
      <c r="P71" s="228"/>
      <c r="Q71" s="228"/>
    </row>
    <row r="72" spans="1:17" s="74" customFormat="1" x14ac:dyDescent="0.2">
      <c r="A72" s="114" t="s">
        <v>39</v>
      </c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68"/>
      <c r="O72" s="229"/>
      <c r="P72" s="229"/>
      <c r="Q72" s="229"/>
    </row>
    <row r="73" spans="1:17" x14ac:dyDescent="0.2">
      <c r="A73" s="81" t="s">
        <v>17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227">
        <f>SUM(B73:M73)</f>
        <v>0</v>
      </c>
      <c r="O73" s="228"/>
      <c r="P73" s="228"/>
      <c r="Q73" s="228"/>
    </row>
    <row r="74" spans="1:17" x14ac:dyDescent="0.2">
      <c r="A74" s="81" t="s">
        <v>18</v>
      </c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227">
        <f>SUM(B74:M74)</f>
        <v>0</v>
      </c>
      <c r="O74" s="228"/>
      <c r="P74" s="228"/>
      <c r="Q74" s="228"/>
    </row>
    <row r="75" spans="1:17" x14ac:dyDescent="0.2">
      <c r="A75" s="81" t="s">
        <v>19</v>
      </c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227">
        <f>SUM(B75:M75)</f>
        <v>0</v>
      </c>
      <c r="O75" s="228"/>
      <c r="P75" s="228"/>
      <c r="Q75" s="228"/>
    </row>
    <row r="76" spans="1:17" s="74" customFormat="1" x14ac:dyDescent="0.2">
      <c r="A76" s="114" t="s">
        <v>45</v>
      </c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68"/>
      <c r="O76" s="229"/>
      <c r="P76" s="229"/>
      <c r="Q76" s="229"/>
    </row>
    <row r="77" spans="1:17" s="117" customFormat="1" x14ac:dyDescent="0.2">
      <c r="A77" s="115" t="s">
        <v>34</v>
      </c>
      <c r="B77" s="116"/>
      <c r="C77" s="116"/>
      <c r="D77" s="116"/>
      <c r="E77" s="93"/>
      <c r="F77" s="93"/>
      <c r="G77" s="93"/>
      <c r="H77" s="93"/>
      <c r="I77" s="93"/>
      <c r="J77" s="93"/>
      <c r="K77" s="93"/>
      <c r="L77" s="93"/>
      <c r="M77" s="93"/>
      <c r="N77" s="227">
        <f>SUM(B77:M77)</f>
        <v>0</v>
      </c>
      <c r="O77" s="228"/>
      <c r="P77" s="228"/>
      <c r="Q77" s="228"/>
    </row>
    <row r="78" spans="1:17" s="117" customFormat="1" x14ac:dyDescent="0.2">
      <c r="A78" s="115" t="s">
        <v>20</v>
      </c>
      <c r="B78" s="116"/>
      <c r="C78" s="116"/>
      <c r="D78" s="116"/>
      <c r="E78" s="93"/>
      <c r="F78" s="93"/>
      <c r="G78" s="93"/>
      <c r="H78" s="93"/>
      <c r="I78" s="93"/>
      <c r="J78" s="93"/>
      <c r="K78" s="93"/>
      <c r="L78" s="93"/>
      <c r="M78" s="93"/>
      <c r="N78" s="227">
        <f>SUM(B78:M78)</f>
        <v>0</v>
      </c>
      <c r="O78" s="228"/>
      <c r="P78" s="228"/>
      <c r="Q78" s="228"/>
    </row>
    <row r="79" spans="1:17" s="117" customFormat="1" x14ac:dyDescent="0.2">
      <c r="A79" s="115" t="s">
        <v>47</v>
      </c>
      <c r="B79" s="116"/>
      <c r="C79" s="116"/>
      <c r="D79" s="116"/>
      <c r="E79" s="93"/>
      <c r="F79" s="93"/>
      <c r="G79" s="93"/>
      <c r="H79" s="93"/>
      <c r="I79" s="93"/>
      <c r="J79" s="93"/>
      <c r="K79" s="93"/>
      <c r="L79" s="93"/>
      <c r="M79" s="93"/>
      <c r="N79" s="227">
        <f>SUM(B79:M79)</f>
        <v>0</v>
      </c>
      <c r="O79" s="228"/>
      <c r="P79" s="228"/>
      <c r="Q79" s="228"/>
    </row>
    <row r="80" spans="1:17" s="117" customFormat="1" x14ac:dyDescent="0.2">
      <c r="A80" s="115" t="s">
        <v>45</v>
      </c>
      <c r="B80" s="116"/>
      <c r="C80" s="116"/>
      <c r="D80" s="116"/>
      <c r="E80" s="93"/>
      <c r="F80" s="93"/>
      <c r="G80" s="93"/>
      <c r="H80" s="93"/>
      <c r="I80" s="93"/>
      <c r="J80" s="93"/>
      <c r="K80" s="93"/>
      <c r="L80" s="93"/>
      <c r="M80" s="93"/>
      <c r="N80" s="227">
        <f>SUM(B80:M80)</f>
        <v>0</v>
      </c>
      <c r="O80" s="228"/>
      <c r="P80" s="228"/>
      <c r="Q80" s="228"/>
    </row>
    <row r="81" spans="1:18" s="74" customFormat="1" x14ac:dyDescent="0.2">
      <c r="A81" s="114" t="s">
        <v>41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68"/>
      <c r="O81" s="229"/>
      <c r="P81" s="229"/>
      <c r="Q81" s="229"/>
    </row>
    <row r="82" spans="1:18" x14ac:dyDescent="0.2">
      <c r="A82" s="81" t="s">
        <v>66</v>
      </c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227">
        <f>SUM(B82:M82)</f>
        <v>0</v>
      </c>
      <c r="O82" s="228"/>
      <c r="P82" s="228"/>
      <c r="Q82" s="228"/>
    </row>
    <row r="83" spans="1:18" x14ac:dyDescent="0.2">
      <c r="A83" s="81" t="s">
        <v>108</v>
      </c>
      <c r="B83" s="118"/>
      <c r="C83" s="91">
        <f>B82*0.33</f>
        <v>0</v>
      </c>
      <c r="D83" s="91">
        <f t="shared" ref="D83:M83" si="13">C82*0.33</f>
        <v>0</v>
      </c>
      <c r="E83" s="91">
        <f t="shared" si="13"/>
        <v>0</v>
      </c>
      <c r="F83" s="91">
        <f t="shared" si="13"/>
        <v>0</v>
      </c>
      <c r="G83" s="91">
        <f t="shared" si="13"/>
        <v>0</v>
      </c>
      <c r="H83" s="91">
        <f t="shared" si="13"/>
        <v>0</v>
      </c>
      <c r="I83" s="91">
        <f t="shared" si="13"/>
        <v>0</v>
      </c>
      <c r="J83" s="91">
        <f t="shared" si="13"/>
        <v>0</v>
      </c>
      <c r="K83" s="91">
        <f t="shared" si="13"/>
        <v>0</v>
      </c>
      <c r="L83" s="91">
        <f t="shared" si="13"/>
        <v>0</v>
      </c>
      <c r="M83" s="91">
        <f t="shared" si="13"/>
        <v>0</v>
      </c>
      <c r="N83" s="227">
        <f>SUM(B83:M83)</f>
        <v>0</v>
      </c>
      <c r="O83" s="227">
        <f>M82/12*0.33+O82/12*11*0.33</f>
        <v>0</v>
      </c>
      <c r="P83" s="227">
        <f>O82/12*0.33+P82/12*11*0.33</f>
        <v>0</v>
      </c>
      <c r="Q83" s="227">
        <f>P82/12*0.33+Q82/12*11*0.33</f>
        <v>0</v>
      </c>
    </row>
    <row r="84" spans="1:18" x14ac:dyDescent="0.2">
      <c r="A84" s="81" t="s">
        <v>109</v>
      </c>
      <c r="B84" s="118"/>
      <c r="C84" s="91">
        <f t="shared" ref="C84:M84" si="14">B82*0.008</f>
        <v>0</v>
      </c>
      <c r="D84" s="91">
        <f t="shared" si="14"/>
        <v>0</v>
      </c>
      <c r="E84" s="91">
        <f t="shared" si="14"/>
        <v>0</v>
      </c>
      <c r="F84" s="91">
        <f t="shared" si="14"/>
        <v>0</v>
      </c>
      <c r="G84" s="91">
        <f t="shared" si="14"/>
        <v>0</v>
      </c>
      <c r="H84" s="91">
        <f t="shared" si="14"/>
        <v>0</v>
      </c>
      <c r="I84" s="91">
        <f t="shared" si="14"/>
        <v>0</v>
      </c>
      <c r="J84" s="91">
        <f t="shared" si="14"/>
        <v>0</v>
      </c>
      <c r="K84" s="91">
        <f t="shared" si="14"/>
        <v>0</v>
      </c>
      <c r="L84" s="91">
        <f t="shared" si="14"/>
        <v>0</v>
      </c>
      <c r="M84" s="91">
        <f t="shared" si="14"/>
        <v>0</v>
      </c>
      <c r="N84" s="227">
        <f>SUM(B84:M84)</f>
        <v>0</v>
      </c>
      <c r="O84" s="227">
        <f>N82/12*0.008+O82/12*11*0.008</f>
        <v>0</v>
      </c>
      <c r="P84" s="227">
        <f>O82/12*0.008+P82/12*11*0.008</f>
        <v>0</v>
      </c>
      <c r="Q84" s="227">
        <f>P82/12*0.008+Q82/12*11*0.008</f>
        <v>0</v>
      </c>
    </row>
    <row r="85" spans="1:18" x14ac:dyDescent="0.2">
      <c r="A85" s="81" t="s">
        <v>38</v>
      </c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227">
        <f>SUM(B85:M85)</f>
        <v>0</v>
      </c>
      <c r="O85" s="228"/>
      <c r="P85" s="228"/>
      <c r="Q85" s="228"/>
    </row>
    <row r="86" spans="1:18" s="74" customFormat="1" x14ac:dyDescent="0.2">
      <c r="A86" s="75" t="s">
        <v>44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68"/>
      <c r="O86" s="229"/>
      <c r="P86" s="229"/>
      <c r="Q86" s="229"/>
    </row>
    <row r="87" spans="1:18" x14ac:dyDescent="0.2">
      <c r="A87" s="81" t="s">
        <v>107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227">
        <f>SUM(B87:M87)</f>
        <v>0</v>
      </c>
      <c r="O87" s="228"/>
      <c r="P87" s="228"/>
      <c r="Q87" s="228"/>
    </row>
    <row r="88" spans="1:18" x14ac:dyDescent="0.2">
      <c r="A88" s="94" t="s">
        <v>6</v>
      </c>
      <c r="B88" s="91">
        <f>IF('Algandmed '!$B2="jah",ROUND((SUM(B35:B80)-B71-B78+B85)*0.2,0),0)</f>
        <v>0</v>
      </c>
      <c r="C88" s="91">
        <f>IF('Algandmed '!$B2="jah",ROUND((SUM(C35:C80)-C71-C78+C85)*0.2,0),0)</f>
        <v>0</v>
      </c>
      <c r="D88" s="91">
        <f>IF('Algandmed '!$B2="jah",ROUND((SUM(D35:D80)-D71-D78+D85)*0.2,0),0)</f>
        <v>0</v>
      </c>
      <c r="E88" s="91">
        <f>IF('Algandmed '!$B2="jah",ROUND((SUM(E35:E80)-E71-E78+E85)*0.2,0),0)</f>
        <v>0</v>
      </c>
      <c r="F88" s="91">
        <f>IF('Algandmed '!$B2="jah",ROUND((SUM(F35:F80)-F71-F78+F85)*0.2,0),0)</f>
        <v>0</v>
      </c>
      <c r="G88" s="91">
        <f>IF('Algandmed '!$B2="jah",ROUND((SUM(G35:G80)-G71-G78+G85)*0.2,0),0)</f>
        <v>0</v>
      </c>
      <c r="H88" s="91">
        <f>IF('Algandmed '!$B2="jah",ROUND((SUM(H35:H80)-H71-H78+H85)*0.2,0),0)</f>
        <v>0</v>
      </c>
      <c r="I88" s="91">
        <f>IF('Algandmed '!$B2="jah",ROUND((SUM(I35:I80)-I71-I78+I85)*0.2,0),0)</f>
        <v>0</v>
      </c>
      <c r="J88" s="91">
        <f>IF('Algandmed '!$B2="jah",ROUND((SUM(J35:J80)-J71-J78+J85)*0.2,0),0)</f>
        <v>0</v>
      </c>
      <c r="K88" s="91">
        <f>IF('Algandmed '!$B2="jah",ROUND((SUM(K35:K80)-K71-K78+K85)*0.2,0),0)</f>
        <v>0</v>
      </c>
      <c r="L88" s="91">
        <f>IF('Algandmed '!$B2="jah",ROUND((SUM(L35:L80)-L71-L78+L85)*0.2,0),0)</f>
        <v>0</v>
      </c>
      <c r="M88" s="91">
        <f>IF('Algandmed '!$B2="jah",ROUND((SUM(M35:M80)-M71-M78+M85)*0.2,0),0)</f>
        <v>0</v>
      </c>
      <c r="N88" s="227">
        <f>SUM(B88:M88)</f>
        <v>0</v>
      </c>
      <c r="O88" s="227">
        <f>IF('Algandmed '!$C2="jah",ROUND((SUM(O35:O80)-O71-O78+O85)*0.2,0),0)</f>
        <v>0</v>
      </c>
      <c r="P88" s="227">
        <f>IF('Algandmed '!$C2="jah",ROUND((SUM(P35:P80)-P71-P78+P85)*0.2,0),0)</f>
        <v>0</v>
      </c>
      <c r="Q88" s="227">
        <f>IF('Algandmed '!$C2="jah",ROUND((SUM(Q35:Q80)-Q71-Q78+Q85)*0.2,0),0)</f>
        <v>0</v>
      </c>
    </row>
    <row r="89" spans="1:18" ht="12" thickBot="1" x14ac:dyDescent="0.25">
      <c r="A89" s="119" t="s">
        <v>48</v>
      </c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241"/>
      <c r="O89" s="233"/>
      <c r="P89" s="233"/>
      <c r="Q89" s="233"/>
    </row>
    <row r="90" spans="1:18" s="117" customFormat="1" ht="12" thickBot="1" x14ac:dyDescent="0.25">
      <c r="A90" s="115" t="s">
        <v>105</v>
      </c>
      <c r="B90" s="116"/>
      <c r="C90" s="116"/>
      <c r="D90" s="116"/>
      <c r="E90" s="93"/>
      <c r="F90" s="93"/>
      <c r="G90" s="93"/>
      <c r="H90" s="93"/>
      <c r="I90" s="93"/>
      <c r="J90" s="93"/>
      <c r="K90" s="93"/>
      <c r="L90" s="93"/>
      <c r="M90" s="86">
        <f>IF(SUM(B90:L90)&lt;=Bilanss!B34,Bilanss!B34-SUM(B90:L90),0)</f>
        <v>0</v>
      </c>
      <c r="N90" s="225">
        <f>IF(SUM(B90:M90)=Bilanss!B34,SUM(B90:M90),IF(Bilanss!B34-SUM(B90:M90)&lt;0,"Viga, kliki siin!",Bilanss!B34-SUM(B90:M90)))</f>
        <v>0</v>
      </c>
      <c r="O90" s="228"/>
      <c r="P90" s="228"/>
      <c r="Q90" s="234"/>
      <c r="R90" s="122"/>
    </row>
    <row r="91" spans="1:18" s="117" customFormat="1" x14ac:dyDescent="0.2">
      <c r="A91" s="115" t="s">
        <v>106</v>
      </c>
      <c r="B91" s="116"/>
      <c r="C91" s="116"/>
      <c r="D91" s="116"/>
      <c r="E91" s="93"/>
      <c r="F91" s="93"/>
      <c r="G91" s="93"/>
      <c r="H91" s="93"/>
      <c r="I91" s="93"/>
      <c r="J91" s="93"/>
      <c r="K91" s="93"/>
      <c r="L91" s="93"/>
      <c r="M91" s="346">
        <f>IF(SUM(B91:L91)&lt;=Bilanss!B33+N22,(Bilanss!B33+N22-SUM(B91:L91)),0)</f>
        <v>0</v>
      </c>
      <c r="N91" s="227">
        <f>IF(SUM(B91:M91)&lt;Bilanss!B33,"Viga, kliki siin!",IF(SUM(B91:M91)&gt;(Bilanss!B33+SUM(B22:M22)),"Viga, kliki siin!",SUM(B91:M91)))</f>
        <v>0</v>
      </c>
      <c r="O91" s="228"/>
      <c r="P91" s="228"/>
      <c r="Q91" s="228"/>
    </row>
    <row r="92" spans="1:18" s="117" customFormat="1" x14ac:dyDescent="0.2">
      <c r="A92" s="115" t="s">
        <v>62</v>
      </c>
      <c r="B92" s="116"/>
      <c r="C92" s="116"/>
      <c r="D92" s="116"/>
      <c r="E92" s="93"/>
      <c r="F92" s="93"/>
      <c r="G92" s="93"/>
      <c r="H92" s="93"/>
      <c r="I92" s="93"/>
      <c r="J92" s="93"/>
      <c r="K92" s="93"/>
      <c r="L92" s="93"/>
      <c r="M92" s="93"/>
      <c r="N92" s="227">
        <f>SUM(B92:M92)</f>
        <v>0</v>
      </c>
      <c r="O92" s="228"/>
      <c r="P92" s="228"/>
      <c r="Q92" s="228"/>
    </row>
    <row r="93" spans="1:18" x14ac:dyDescent="0.2">
      <c r="A93" s="81" t="s">
        <v>53</v>
      </c>
      <c r="B93" s="118"/>
      <c r="C93" s="91">
        <f>IF(B102&gt;0,B102,0)</f>
        <v>0</v>
      </c>
      <c r="D93" s="91">
        <f>IF(AND(B102&lt;0,C102&lt;=0),B102,IF(AND(B102&gt;=0,C102&lt;0),0,IF(AND(B102&lt;0,C102&gt;0),B102+C102,C102)))</f>
        <v>0</v>
      </c>
      <c r="E93" s="91">
        <f t="shared" ref="E93:M93" si="15">IF(AND(C102&lt;0,D102&lt;=0),C102,IF(AND(C102&gt;=0,D102&lt;0),0,IF(AND(C102&lt;0,D102&gt;0),C102+D102,D102)))</f>
        <v>0</v>
      </c>
      <c r="F93" s="91">
        <f t="shared" si="15"/>
        <v>0</v>
      </c>
      <c r="G93" s="91">
        <f t="shared" si="15"/>
        <v>0</v>
      </c>
      <c r="H93" s="91">
        <f t="shared" si="15"/>
        <v>0</v>
      </c>
      <c r="I93" s="91">
        <f t="shared" si="15"/>
        <v>0</v>
      </c>
      <c r="J93" s="91">
        <f t="shared" si="15"/>
        <v>0</v>
      </c>
      <c r="K93" s="91">
        <f t="shared" si="15"/>
        <v>0</v>
      </c>
      <c r="L93" s="91">
        <f t="shared" si="15"/>
        <v>0</v>
      </c>
      <c r="M93" s="91">
        <f t="shared" si="15"/>
        <v>0</v>
      </c>
      <c r="N93" s="227">
        <f>SUM(B93:M93)</f>
        <v>0</v>
      </c>
      <c r="O93" s="227">
        <f>L102+M102+O102-O102/12</f>
        <v>0</v>
      </c>
      <c r="P93" s="227">
        <f>O102/12+P102-P102/12</f>
        <v>0</v>
      </c>
      <c r="Q93" s="227">
        <f>P102/12+Q102-Q102/12</f>
        <v>0</v>
      </c>
    </row>
    <row r="94" spans="1:18" s="74" customFormat="1" x14ac:dyDescent="0.2">
      <c r="A94" s="107" t="s">
        <v>170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227">
        <f>SUM(B94:M94)</f>
        <v>0</v>
      </c>
      <c r="O94" s="228"/>
      <c r="P94" s="228"/>
      <c r="Q94" s="228"/>
    </row>
    <row r="95" spans="1:18" s="124" customFormat="1" x14ac:dyDescent="0.2">
      <c r="A95" s="123" t="s">
        <v>22</v>
      </c>
      <c r="B95" s="91">
        <f>SUM(B35:B94)</f>
        <v>0</v>
      </c>
      <c r="C95" s="91">
        <f>SUM(C35:C94)</f>
        <v>0</v>
      </c>
      <c r="D95" s="91">
        <f t="shared" ref="D95:M95" si="16">SUM(D35:D94)</f>
        <v>0</v>
      </c>
      <c r="E95" s="91">
        <f t="shared" si="16"/>
        <v>0</v>
      </c>
      <c r="F95" s="91">
        <f t="shared" si="16"/>
        <v>0</v>
      </c>
      <c r="G95" s="91">
        <f t="shared" si="16"/>
        <v>0</v>
      </c>
      <c r="H95" s="91">
        <f t="shared" si="16"/>
        <v>0</v>
      </c>
      <c r="I95" s="91">
        <f t="shared" si="16"/>
        <v>0</v>
      </c>
      <c r="J95" s="91">
        <f t="shared" si="16"/>
        <v>0</v>
      </c>
      <c r="K95" s="91">
        <f t="shared" si="16"/>
        <v>0</v>
      </c>
      <c r="L95" s="91">
        <f t="shared" si="16"/>
        <v>0</v>
      </c>
      <c r="M95" s="91">
        <f t="shared" si="16"/>
        <v>0</v>
      </c>
      <c r="N95" s="227">
        <f>SUM(N35:N94)</f>
        <v>0</v>
      </c>
      <c r="O95" s="227">
        <f>SUM(O35:O94)</f>
        <v>0</v>
      </c>
      <c r="P95" s="227">
        <f>SUM(P35:P94)</f>
        <v>0</v>
      </c>
      <c r="Q95" s="227">
        <f>SUM(Q35:Q94)</f>
        <v>0</v>
      </c>
    </row>
    <row r="96" spans="1:18" s="124" customFormat="1" x14ac:dyDescent="0.2">
      <c r="A96" s="111" t="s">
        <v>165</v>
      </c>
      <c r="B96" s="125">
        <f>SUM(raha2)-SUM(kohu2)</f>
        <v>0</v>
      </c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242">
        <f>B96</f>
        <v>0</v>
      </c>
      <c r="O96" s="167"/>
      <c r="P96" s="167"/>
      <c r="Q96" s="167"/>
    </row>
    <row r="97" spans="1:17" s="74" customFormat="1" x14ac:dyDescent="0.2">
      <c r="A97" s="123" t="s">
        <v>23</v>
      </c>
      <c r="B97" s="72">
        <f>B4+B30-B95+B96</f>
        <v>0</v>
      </c>
      <c r="C97" s="91">
        <f t="shared" ref="C97:M97" si="17">C30+C4-C95</f>
        <v>0</v>
      </c>
      <c r="D97" s="91">
        <f t="shared" si="17"/>
        <v>0</v>
      </c>
      <c r="E97" s="91">
        <f t="shared" si="17"/>
        <v>0</v>
      </c>
      <c r="F97" s="91">
        <f t="shared" si="17"/>
        <v>0</v>
      </c>
      <c r="G97" s="91">
        <f t="shared" si="17"/>
        <v>0</v>
      </c>
      <c r="H97" s="91">
        <f t="shared" si="17"/>
        <v>0</v>
      </c>
      <c r="I97" s="91">
        <f t="shared" si="17"/>
        <v>0</v>
      </c>
      <c r="J97" s="91">
        <f t="shared" si="17"/>
        <v>0</v>
      </c>
      <c r="K97" s="91">
        <f t="shared" si="17"/>
        <v>0</v>
      </c>
      <c r="L97" s="91">
        <f t="shared" si="17"/>
        <v>0</v>
      </c>
      <c r="M97" s="91">
        <f t="shared" si="17"/>
        <v>0</v>
      </c>
      <c r="N97" s="227">
        <f>N4+N30-N95+N96</f>
        <v>0</v>
      </c>
      <c r="O97" s="336">
        <f>O30+O4-O95</f>
        <v>0</v>
      </c>
      <c r="P97" s="227">
        <f>P30+P4-P95</f>
        <v>0</v>
      </c>
      <c r="Q97" s="227">
        <f>Q30+Q4-Q95</f>
        <v>0</v>
      </c>
    </row>
    <row r="98" spans="1:17" s="74" customFormat="1" x14ac:dyDescent="0.2"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7">
        <f>Bilanss!B33</f>
        <v>0</v>
      </c>
      <c r="O98" s="235"/>
      <c r="P98" s="235"/>
      <c r="Q98" s="236"/>
    </row>
    <row r="99" spans="1:17" x14ac:dyDescent="0.2">
      <c r="A99" s="74"/>
      <c r="B99" s="128" t="s">
        <v>166</v>
      </c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7">
        <f>Bilanss!B34</f>
        <v>0</v>
      </c>
      <c r="O99" s="235"/>
      <c r="P99" s="235"/>
      <c r="Q99" s="236"/>
    </row>
    <row r="100" spans="1:17" ht="17.25" customHeight="1" x14ac:dyDescent="0.2">
      <c r="A100" s="74"/>
      <c r="B100" s="129" t="s">
        <v>167</v>
      </c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235"/>
      <c r="P100" s="235"/>
      <c r="Q100" s="236"/>
    </row>
    <row r="101" spans="1:17" ht="18" hidden="1" customHeight="1" x14ac:dyDescent="0.2"/>
    <row r="102" spans="1:17" s="131" customFormat="1" ht="17.25" hidden="1" customHeight="1" x14ac:dyDescent="0.2">
      <c r="A102" s="131" t="s">
        <v>158</v>
      </c>
      <c r="B102" s="132">
        <f t="shared" ref="B102:M102" si="18">B19-B88</f>
        <v>0</v>
      </c>
      <c r="C102" s="132">
        <f t="shared" si="18"/>
        <v>0</v>
      </c>
      <c r="D102" s="132">
        <f t="shared" si="18"/>
        <v>0</v>
      </c>
      <c r="E102" s="132">
        <f t="shared" si="18"/>
        <v>0</v>
      </c>
      <c r="F102" s="132">
        <f t="shared" si="18"/>
        <v>0</v>
      </c>
      <c r="G102" s="132">
        <f t="shared" si="18"/>
        <v>0</v>
      </c>
      <c r="H102" s="132">
        <f t="shared" si="18"/>
        <v>0</v>
      </c>
      <c r="I102" s="132">
        <f t="shared" si="18"/>
        <v>0</v>
      </c>
      <c r="J102" s="132">
        <f t="shared" si="18"/>
        <v>0</v>
      </c>
      <c r="K102" s="132">
        <f t="shared" si="18"/>
        <v>0</v>
      </c>
      <c r="L102" s="132">
        <f t="shared" si="18"/>
        <v>0</v>
      </c>
      <c r="M102" s="132">
        <f t="shared" si="18"/>
        <v>0</v>
      </c>
      <c r="N102" s="132"/>
      <c r="O102" s="238">
        <f>O19-O88</f>
        <v>0</v>
      </c>
      <c r="P102" s="238">
        <f>P19-P88</f>
        <v>0</v>
      </c>
      <c r="Q102" s="238">
        <f>Q19-Q88</f>
        <v>0</v>
      </c>
    </row>
    <row r="103" spans="1:17" s="131" customFormat="1" ht="15" hidden="1" customHeight="1" x14ac:dyDescent="0.2">
      <c r="A103" s="131" t="s">
        <v>259</v>
      </c>
      <c r="B103" s="132">
        <f>B26</f>
        <v>0</v>
      </c>
      <c r="C103" s="132">
        <f>C26</f>
        <v>0</v>
      </c>
      <c r="D103" s="132">
        <f t="shared" ref="D103:N103" si="19">D26</f>
        <v>0</v>
      </c>
      <c r="E103" s="132">
        <f t="shared" si="19"/>
        <v>0</v>
      </c>
      <c r="F103" s="132">
        <f t="shared" si="19"/>
        <v>0</v>
      </c>
      <c r="G103" s="132">
        <f t="shared" si="19"/>
        <v>0</v>
      </c>
      <c r="H103" s="132">
        <f t="shared" si="19"/>
        <v>0</v>
      </c>
      <c r="I103" s="132">
        <f t="shared" si="19"/>
        <v>0</v>
      </c>
      <c r="J103" s="132">
        <f t="shared" si="19"/>
        <v>0</v>
      </c>
      <c r="K103" s="132">
        <f t="shared" si="19"/>
        <v>0</v>
      </c>
      <c r="L103" s="132">
        <f t="shared" si="19"/>
        <v>0</v>
      </c>
      <c r="M103" s="132">
        <f t="shared" si="19"/>
        <v>0</v>
      </c>
      <c r="N103" s="132">
        <f t="shared" si="19"/>
        <v>0</v>
      </c>
      <c r="O103" s="132">
        <f>O26+O27</f>
        <v>0</v>
      </c>
      <c r="P103" s="132">
        <f>P26+P27</f>
        <v>0</v>
      </c>
      <c r="Q103" s="132">
        <f>Q26+Q27</f>
        <v>0</v>
      </c>
    </row>
    <row r="104" spans="1:17" s="131" customFormat="1" ht="17.25" hidden="1" customHeight="1" x14ac:dyDescent="0.2">
      <c r="A104" s="131" t="s">
        <v>159</v>
      </c>
      <c r="B104" s="132">
        <f>B35</f>
        <v>0</v>
      </c>
      <c r="C104" s="132">
        <f>SUM($B35:C35)</f>
        <v>0</v>
      </c>
      <c r="D104" s="132">
        <f>SUM($B35:D35)</f>
        <v>0</v>
      </c>
      <c r="E104" s="132">
        <f>SUM($B35:E35)</f>
        <v>0</v>
      </c>
      <c r="F104" s="132">
        <f>SUM($B35:F35)</f>
        <v>0</v>
      </c>
      <c r="G104" s="132">
        <f>SUM($B35:G35)</f>
        <v>0</v>
      </c>
      <c r="H104" s="132">
        <f>SUM($B35:H35)</f>
        <v>0</v>
      </c>
      <c r="I104" s="132">
        <f>SUM($B35:I35)</f>
        <v>0</v>
      </c>
      <c r="J104" s="132">
        <f>SUM($B35:J35)</f>
        <v>0</v>
      </c>
      <c r="K104" s="132">
        <f>SUM($B35:K35)</f>
        <v>0</v>
      </c>
      <c r="L104" s="132">
        <f>SUM($B35:L35)</f>
        <v>0</v>
      </c>
      <c r="M104" s="132">
        <f>SUM($B35:M35)</f>
        <v>0</v>
      </c>
      <c r="N104" s="132">
        <f>M104</f>
        <v>0</v>
      </c>
      <c r="O104" s="238">
        <f>SUM(N35:O35)</f>
        <v>0</v>
      </c>
      <c r="P104" s="238">
        <f>SUM(N35:P35)</f>
        <v>0</v>
      </c>
      <c r="Q104" s="238">
        <f>SUM(N35:Q35)</f>
        <v>0</v>
      </c>
    </row>
    <row r="105" spans="1:17" s="131" customFormat="1" ht="19.5" hidden="1" customHeight="1" x14ac:dyDescent="0.2">
      <c r="A105" s="131" t="s">
        <v>160</v>
      </c>
      <c r="B105" s="132">
        <f>B36</f>
        <v>0</v>
      </c>
      <c r="C105" s="132">
        <f>SUM($B36:C36)</f>
        <v>0</v>
      </c>
      <c r="D105" s="132">
        <f>SUM($B36:D36)</f>
        <v>0</v>
      </c>
      <c r="E105" s="132">
        <f>SUM($B36:E36)</f>
        <v>0</v>
      </c>
      <c r="F105" s="132">
        <f>SUM($B36:F36)</f>
        <v>0</v>
      </c>
      <c r="G105" s="132">
        <f>SUM($B36:G36)</f>
        <v>0</v>
      </c>
      <c r="H105" s="132">
        <f>SUM($B36:H36)</f>
        <v>0</v>
      </c>
      <c r="I105" s="132">
        <f>SUM($B36:I36)</f>
        <v>0</v>
      </c>
      <c r="J105" s="132">
        <f>SUM($B36:J36)</f>
        <v>0</v>
      </c>
      <c r="K105" s="132">
        <f>SUM($B36:K36)</f>
        <v>0</v>
      </c>
      <c r="L105" s="132">
        <f>SUM($B36:L36)</f>
        <v>0</v>
      </c>
      <c r="M105" s="132">
        <f>SUM($B36:M36)</f>
        <v>0</v>
      </c>
      <c r="N105" s="132">
        <f>M105</f>
        <v>0</v>
      </c>
      <c r="O105" s="238">
        <f>SUM(N36:O36)</f>
        <v>0</v>
      </c>
      <c r="P105" s="238">
        <f>SUM(N36:P36)</f>
        <v>0</v>
      </c>
      <c r="Q105" s="238">
        <f>SUM(N36:Q36)</f>
        <v>0</v>
      </c>
    </row>
    <row r="106" spans="1:17" s="388" customFormat="1" ht="19.5" hidden="1" customHeight="1" x14ac:dyDescent="0.2">
      <c r="A106" s="388" t="s">
        <v>99</v>
      </c>
      <c r="B106" s="389">
        <f>SUM(B39:B41)</f>
        <v>0</v>
      </c>
      <c r="C106" s="389">
        <f>SUM($B39:C41)</f>
        <v>0</v>
      </c>
      <c r="D106" s="389">
        <f>SUM($B39:D41)</f>
        <v>0</v>
      </c>
      <c r="E106" s="389">
        <f>SUM($B39:E41)</f>
        <v>0</v>
      </c>
      <c r="F106" s="389">
        <f>SUM($B39:F41)</f>
        <v>0</v>
      </c>
      <c r="G106" s="389">
        <f>SUM($B39:G41)</f>
        <v>0</v>
      </c>
      <c r="H106" s="389">
        <f>SUM($B39:H41)</f>
        <v>0</v>
      </c>
      <c r="I106" s="389">
        <f>SUM($B39:I41)</f>
        <v>0</v>
      </c>
      <c r="J106" s="389">
        <f>SUM($B39:J41)</f>
        <v>0</v>
      </c>
      <c r="K106" s="389">
        <f>SUM($B39:K41)</f>
        <v>0</v>
      </c>
      <c r="L106" s="389">
        <f>SUM($B39:L41)</f>
        <v>0</v>
      </c>
      <c r="M106" s="389">
        <f>SUM($B39:M41)</f>
        <v>0</v>
      </c>
      <c r="N106" s="389">
        <f>M106</f>
        <v>0</v>
      </c>
      <c r="O106" s="390">
        <f>SUM(N39:O41)</f>
        <v>0</v>
      </c>
      <c r="P106" s="390">
        <f>SUM(N39:P41)</f>
        <v>0</v>
      </c>
      <c r="Q106" s="390">
        <f>SUM(N39:Q41)</f>
        <v>0</v>
      </c>
    </row>
    <row r="107" spans="1:17" s="131" customFormat="1" ht="15" hidden="1" customHeight="1" x14ac:dyDescent="0.2">
      <c r="A107" s="131" t="s">
        <v>184</v>
      </c>
      <c r="B107" s="132">
        <f>B37+B38</f>
        <v>0</v>
      </c>
      <c r="C107" s="132">
        <f>SUM($B37:C38)</f>
        <v>0</v>
      </c>
      <c r="D107" s="132">
        <f>SUM($B37:D38)</f>
        <v>0</v>
      </c>
      <c r="E107" s="132">
        <f>SUM($B37:E38)</f>
        <v>0</v>
      </c>
      <c r="F107" s="132">
        <f>SUM($B37:F38)</f>
        <v>0</v>
      </c>
      <c r="G107" s="132">
        <f>SUM($B37:G38)</f>
        <v>0</v>
      </c>
      <c r="H107" s="132">
        <f>SUM($B37:H38)</f>
        <v>0</v>
      </c>
      <c r="I107" s="132">
        <f>SUM($B37:I38)</f>
        <v>0</v>
      </c>
      <c r="J107" s="132">
        <f>SUM($B37:J38)</f>
        <v>0</v>
      </c>
      <c r="K107" s="132">
        <f>SUM($B37:K38)</f>
        <v>0</v>
      </c>
      <c r="L107" s="132">
        <f>SUM($B37:L38)</f>
        <v>0</v>
      </c>
      <c r="M107" s="132">
        <f>SUM($B37:M38)</f>
        <v>0</v>
      </c>
      <c r="N107" s="132">
        <f>M107</f>
        <v>0</v>
      </c>
      <c r="O107" s="238">
        <f>SUM(N37:O38)</f>
        <v>0</v>
      </c>
      <c r="P107" s="238">
        <f>SUM(N37:P38)</f>
        <v>0</v>
      </c>
      <c r="Q107" s="238">
        <f>SUM(N37:Q38)</f>
        <v>0</v>
      </c>
    </row>
    <row r="108" spans="1:17" s="131" customFormat="1" ht="17.25" hidden="1" customHeight="1" x14ac:dyDescent="0.2">
      <c r="A108" s="131" t="s">
        <v>100</v>
      </c>
      <c r="B108" s="132">
        <f>B104*'Algandmed '!$B4/100/12</f>
        <v>0</v>
      </c>
      <c r="C108" s="132">
        <f>C104*'Algandmed '!$B4/100/12</f>
        <v>0</v>
      </c>
      <c r="D108" s="132">
        <f>D104*'Algandmed '!$B4/100/12</f>
        <v>0</v>
      </c>
      <c r="E108" s="132">
        <f>E104*'Algandmed '!$B4/100/12</f>
        <v>0</v>
      </c>
      <c r="F108" s="132">
        <f>F104*'Algandmed '!$B4/100/12</f>
        <v>0</v>
      </c>
      <c r="G108" s="132">
        <f>G104*'Algandmed '!$B4/100/12</f>
        <v>0</v>
      </c>
      <c r="H108" s="132">
        <f>H104*'Algandmed '!$B4/100/12</f>
        <v>0</v>
      </c>
      <c r="I108" s="132">
        <f>I104*'Algandmed '!$B4/100/12</f>
        <v>0</v>
      </c>
      <c r="J108" s="132">
        <f>J104*'Algandmed '!$B4/100/12</f>
        <v>0</v>
      </c>
      <c r="K108" s="132">
        <f>K104*'Algandmed '!$B4/100/12</f>
        <v>0</v>
      </c>
      <c r="L108" s="132">
        <f>L104*'Algandmed '!$B4/100/12</f>
        <v>0</v>
      </c>
      <c r="M108" s="132">
        <f>M104*'Algandmed '!$B4/100/12</f>
        <v>0</v>
      </c>
      <c r="N108" s="132">
        <f>Bilanss!$B$15*'Algandmed '!$B$4/100+SUM(B108:M108)</f>
        <v>0</v>
      </c>
      <c r="O108" s="238">
        <f>Bilanss!$B$15*'Algandmed '!$B$4/100+O104*'Algandmed '!C4/100</f>
        <v>0</v>
      </c>
      <c r="P108" s="238">
        <f>Bilanss!$B$15*'Algandmed '!$B$4/100+P104*'Algandmed '!D4/100</f>
        <v>0</v>
      </c>
      <c r="Q108" s="238">
        <f>Bilanss!$B$15*'Algandmed '!$B$4/100+Q104*'Algandmed '!E4/100</f>
        <v>0</v>
      </c>
    </row>
    <row r="109" spans="1:17" s="131" customFormat="1" ht="21" hidden="1" customHeight="1" x14ac:dyDescent="0.2">
      <c r="A109" s="131" t="s">
        <v>101</v>
      </c>
      <c r="B109" s="132">
        <f>B106*'Algandmed '!$B5/100/12</f>
        <v>0</v>
      </c>
      <c r="C109" s="132">
        <f>C106*'Algandmed '!$B5/100/12</f>
        <v>0</v>
      </c>
      <c r="D109" s="132">
        <f>D106*'Algandmed '!$B5/100/12</f>
        <v>0</v>
      </c>
      <c r="E109" s="132">
        <f>E106*'Algandmed '!$B5/100/12</f>
        <v>0</v>
      </c>
      <c r="F109" s="132">
        <f>F106*'Algandmed '!$B5/100/12</f>
        <v>0</v>
      </c>
      <c r="G109" s="132">
        <f>G106*'Algandmed '!$B5/100/12</f>
        <v>0</v>
      </c>
      <c r="H109" s="132">
        <f>H106*'Algandmed '!$B5/100/12</f>
        <v>0</v>
      </c>
      <c r="I109" s="132">
        <f>I106*'Algandmed '!$B5/100/12</f>
        <v>0</v>
      </c>
      <c r="J109" s="132">
        <f>J106*'Algandmed '!$B5/100/12</f>
        <v>0</v>
      </c>
      <c r="K109" s="132">
        <f>K106*'Algandmed '!$B5/100/12</f>
        <v>0</v>
      </c>
      <c r="L109" s="132">
        <f>L106*'Algandmed '!$B5/100/12</f>
        <v>0</v>
      </c>
      <c r="M109" s="132">
        <f>M106*'Algandmed '!$B5/100/12</f>
        <v>0</v>
      </c>
      <c r="N109" s="132">
        <f>Bilanss!B16*'Algandmed '!B5/100+SUM(B109:M109)</f>
        <v>0</v>
      </c>
      <c r="O109" s="238">
        <f>Bilanss!$B$16*'Algandmed '!$B$5/100+O106*'Algandmed '!C5/100</f>
        <v>0</v>
      </c>
      <c r="P109" s="238">
        <f>Bilanss!$B$16*'Algandmed '!$B$5/100+P106*'Algandmed '!D5/100</f>
        <v>0</v>
      </c>
      <c r="Q109" s="238">
        <f>Bilanss!$B$16*'Algandmed '!$B$5/100+Q106*'Algandmed '!E5/100</f>
        <v>0</v>
      </c>
    </row>
    <row r="110" spans="1:17" s="131" customFormat="1" ht="20.25" hidden="1" customHeight="1" x14ac:dyDescent="0.2">
      <c r="A110" s="131" t="s">
        <v>102</v>
      </c>
      <c r="B110" s="132">
        <f>B107*'Algandmed '!$B5/100/12</f>
        <v>0</v>
      </c>
      <c r="C110" s="132">
        <f>C107*'Algandmed '!$B5/100/12</f>
        <v>0</v>
      </c>
      <c r="D110" s="132">
        <f>D107*'Algandmed '!$B5/100/12</f>
        <v>0</v>
      </c>
      <c r="E110" s="132">
        <f>E107*'Algandmed '!$B5/100/12</f>
        <v>0</v>
      </c>
      <c r="F110" s="132">
        <f>F107*'Algandmed '!$B5/100/12</f>
        <v>0</v>
      </c>
      <c r="G110" s="132">
        <f>G107*'Algandmed '!$B5/100/12</f>
        <v>0</v>
      </c>
      <c r="H110" s="132">
        <f>H107*'Algandmed '!$B5/100/12</f>
        <v>0</v>
      </c>
      <c r="I110" s="132">
        <f>I107*'Algandmed '!$B5/100/12</f>
        <v>0</v>
      </c>
      <c r="J110" s="132">
        <f>J107*'Algandmed '!$B5/100/12</f>
        <v>0</v>
      </c>
      <c r="K110" s="132">
        <f>K107*'Algandmed '!$B5/100/12</f>
        <v>0</v>
      </c>
      <c r="L110" s="132">
        <f>L107*'Algandmed '!$B5/100/12</f>
        <v>0</v>
      </c>
      <c r="M110" s="132">
        <f>M107*'Algandmed '!$B5/100/12</f>
        <v>0</v>
      </c>
      <c r="N110" s="132">
        <f>Bilanss!$B$22*'Algandmed '!B$5/100+SUM(B110:M110)</f>
        <v>0</v>
      </c>
      <c r="O110" s="238">
        <f>Bilanss!$B$22*'Algandmed '!$B$5/100+O107*'Algandmed '!C5/100</f>
        <v>0</v>
      </c>
      <c r="P110" s="238">
        <f>Bilanss!$B$22*'Algandmed '!$B$5/100+P107*'Algandmed '!D5/100</f>
        <v>0</v>
      </c>
      <c r="Q110" s="238">
        <f>Bilanss!$B$22*'Algandmed '!$B$5/100+Q107*'Algandmed '!E5/100</f>
        <v>0</v>
      </c>
    </row>
    <row r="111" spans="1:17" s="131" customFormat="1" ht="17.25" hidden="1" customHeight="1" x14ac:dyDescent="0.2">
      <c r="A111" s="131" t="s">
        <v>161</v>
      </c>
      <c r="B111" s="132">
        <f>B105*'Algandmed '!$B4/100/12</f>
        <v>0</v>
      </c>
      <c r="C111" s="132">
        <f>C105*'Algandmed '!$B4/100/12</f>
        <v>0</v>
      </c>
      <c r="D111" s="132">
        <f>D105*'Algandmed '!$B4/100/12</f>
        <v>0</v>
      </c>
      <c r="E111" s="132">
        <f>E105*'Algandmed '!$B4/100/12</f>
        <v>0</v>
      </c>
      <c r="F111" s="132">
        <f>F105*'Algandmed '!$B4/100/12</f>
        <v>0</v>
      </c>
      <c r="G111" s="132">
        <f>G105*'Algandmed '!$B4/100/12</f>
        <v>0</v>
      </c>
      <c r="H111" s="132">
        <f>H105*'Algandmed '!$B4/100/12</f>
        <v>0</v>
      </c>
      <c r="I111" s="132">
        <f>I105*'Algandmed '!$B4/100/12</f>
        <v>0</v>
      </c>
      <c r="J111" s="132">
        <f>J105*'Algandmed '!$B4/100/12</f>
        <v>0</v>
      </c>
      <c r="K111" s="132">
        <f>K105*'Algandmed '!$B4/100/12</f>
        <v>0</v>
      </c>
      <c r="L111" s="132">
        <f>L105*'Algandmed '!$B4/100/12</f>
        <v>0</v>
      </c>
      <c r="M111" s="132">
        <f>M105*'Algandmed '!$B4/100/12</f>
        <v>0</v>
      </c>
      <c r="N111" s="132">
        <f>SUM(B111:M111)</f>
        <v>0</v>
      </c>
      <c r="O111" s="238">
        <f>O105*'Algandmed '!$B4/100</f>
        <v>0</v>
      </c>
      <c r="P111" s="238">
        <f>P105*'Algandmed '!$B4/100</f>
        <v>0</v>
      </c>
      <c r="Q111" s="238">
        <f>Q105*'Algandmed '!$B4/100</f>
        <v>0</v>
      </c>
    </row>
    <row r="112" spans="1:17" s="131" customFormat="1" ht="21" hidden="1" customHeight="1" x14ac:dyDescent="0.2">
      <c r="A112" s="131" t="s">
        <v>186</v>
      </c>
      <c r="B112" s="132">
        <f>B44</f>
        <v>0</v>
      </c>
      <c r="C112" s="132">
        <f>SUM($B$44:C44)</f>
        <v>0</v>
      </c>
      <c r="D112" s="132">
        <f>SUM($B$44:D44)</f>
        <v>0</v>
      </c>
      <c r="E112" s="132">
        <f>SUM($B$44:E44)</f>
        <v>0</v>
      </c>
      <c r="F112" s="132">
        <f>SUM($B$44:F44)</f>
        <v>0</v>
      </c>
      <c r="G112" s="132">
        <f>SUM($B$44:G44)</f>
        <v>0</v>
      </c>
      <c r="H112" s="132">
        <f>SUM($B$44:H44)</f>
        <v>0</v>
      </c>
      <c r="I112" s="132">
        <f>SUM($B$44:I44)</f>
        <v>0</v>
      </c>
      <c r="J112" s="132">
        <f>SUM($B$44:J44)</f>
        <v>0</v>
      </c>
      <c r="K112" s="132">
        <f>SUM($B$44:K44)</f>
        <v>0</v>
      </c>
      <c r="L112" s="132">
        <f>SUM($B$44:L44)</f>
        <v>0</v>
      </c>
      <c r="M112" s="132">
        <f>SUM($B$44:M44)</f>
        <v>0</v>
      </c>
      <c r="N112" s="132">
        <f>M112</f>
        <v>0</v>
      </c>
      <c r="O112" s="238">
        <f>SUM($N$44:O44)</f>
        <v>0</v>
      </c>
      <c r="P112" s="238">
        <f>SUM($N$44:P44)</f>
        <v>0</v>
      </c>
      <c r="Q112" s="238">
        <f>SUM($N$44:Q44)</f>
        <v>0</v>
      </c>
    </row>
    <row r="113" spans="1:17" ht="20.25" hidden="1" customHeight="1" x14ac:dyDescent="0.2">
      <c r="A113" s="131" t="s">
        <v>185</v>
      </c>
      <c r="B113" s="132">
        <f>B43</f>
        <v>0</v>
      </c>
      <c r="C113" s="132">
        <f>SUM($B$43:C43)</f>
        <v>0</v>
      </c>
      <c r="D113" s="132">
        <f>SUM($B$43:D43)</f>
        <v>0</v>
      </c>
      <c r="E113" s="132">
        <f>SUM($B$43:E43)</f>
        <v>0</v>
      </c>
      <c r="F113" s="132">
        <f>SUM($B$43:F43)</f>
        <v>0</v>
      </c>
      <c r="G113" s="132">
        <f>SUM($B$43:G43)</f>
        <v>0</v>
      </c>
      <c r="H113" s="132">
        <f>SUM($B$43:H43)</f>
        <v>0</v>
      </c>
      <c r="I113" s="132">
        <f>SUM($B$43:I43)</f>
        <v>0</v>
      </c>
      <c r="J113" s="132">
        <f>SUM($B$43:J43)</f>
        <v>0</v>
      </c>
      <c r="K113" s="132">
        <f>SUM($B$43:K43)</f>
        <v>0</v>
      </c>
      <c r="L113" s="132">
        <f>SUM($B$43:L43)</f>
        <v>0</v>
      </c>
      <c r="M113" s="132">
        <f>SUM($B$43:M43)</f>
        <v>0</v>
      </c>
      <c r="N113" s="132">
        <f>M113</f>
        <v>0</v>
      </c>
      <c r="O113" s="238">
        <f>SUM($N$43:O43)</f>
        <v>0</v>
      </c>
      <c r="P113" s="238">
        <f>SUM($N$43:P43)</f>
        <v>0</v>
      </c>
      <c r="Q113" s="238">
        <f>SUM($N$43:Q43)</f>
        <v>0</v>
      </c>
    </row>
    <row r="114" spans="1:17" ht="18" hidden="1" customHeight="1" x14ac:dyDescent="0.2">
      <c r="A114" s="131" t="s">
        <v>187</v>
      </c>
      <c r="B114" s="132">
        <f>B112*'Algandmed '!$B6/100/12</f>
        <v>0</v>
      </c>
      <c r="C114" s="132">
        <f>C112*'Algandmed '!$B6/100/12</f>
        <v>0</v>
      </c>
      <c r="D114" s="132">
        <f>D112*'Algandmed '!$B6/100/12</f>
        <v>0</v>
      </c>
      <c r="E114" s="132">
        <f>E112*'Algandmed '!$B6/100/12</f>
        <v>0</v>
      </c>
      <c r="F114" s="132">
        <f>F112*'Algandmed '!$B6/100/12</f>
        <v>0</v>
      </c>
      <c r="G114" s="132">
        <f>G112*'Algandmed '!$B6/100/12</f>
        <v>0</v>
      </c>
      <c r="H114" s="132">
        <f>H112*'Algandmed '!$B6/100/12</f>
        <v>0</v>
      </c>
      <c r="I114" s="132">
        <f>I112*'Algandmed '!$B6/100/12</f>
        <v>0</v>
      </c>
      <c r="J114" s="132">
        <f>J112*'Algandmed '!$B6/100/12</f>
        <v>0</v>
      </c>
      <c r="K114" s="132">
        <f>K112*'Algandmed '!$B6/100/12</f>
        <v>0</v>
      </c>
      <c r="L114" s="132">
        <f>L112*'Algandmed '!$B6/100/12</f>
        <v>0</v>
      </c>
      <c r="M114" s="132">
        <f>M112*'Algandmed '!$B6/100/12</f>
        <v>0</v>
      </c>
      <c r="N114" s="132">
        <f>Bilanss!B19*'Algandmed '!B6/100+SUM(B114:M114)</f>
        <v>0</v>
      </c>
      <c r="O114" s="238">
        <f>Bilanss!$B$19*'Algandmed '!$B$6/100+O112*'Algandmed '!C6/100</f>
        <v>0</v>
      </c>
      <c r="P114" s="238">
        <f>Bilanss!$B$19*'Algandmed '!$B$6/100+P112*'Algandmed '!D6/100</f>
        <v>0</v>
      </c>
      <c r="Q114" s="238">
        <f>Bilanss!$B$19*'Algandmed '!$B$6/100+Q112*'Algandmed '!E6/100</f>
        <v>0</v>
      </c>
    </row>
    <row r="115" spans="1:17" ht="30" hidden="1" customHeight="1" x14ac:dyDescent="0.2">
      <c r="A115" s="131" t="s">
        <v>188</v>
      </c>
      <c r="B115" s="132">
        <f>B113*'Algandmed '!$B6/100/12</f>
        <v>0</v>
      </c>
      <c r="C115" s="132">
        <f>C113*'Algandmed '!$B6/100/12</f>
        <v>0</v>
      </c>
      <c r="D115" s="132">
        <f>D113*'Algandmed '!$B6/100/12</f>
        <v>0</v>
      </c>
      <c r="E115" s="132">
        <f>E113*'Algandmed '!$B6/100/12</f>
        <v>0</v>
      </c>
      <c r="F115" s="132">
        <f>F113*'Algandmed '!$B6/100/12</f>
        <v>0</v>
      </c>
      <c r="G115" s="132">
        <f>G113*'Algandmed '!$B6/100/12</f>
        <v>0</v>
      </c>
      <c r="H115" s="132">
        <f>H113*'Algandmed '!$B6/100/12</f>
        <v>0</v>
      </c>
      <c r="I115" s="132">
        <f>I113*'Algandmed '!$B6/100/12</f>
        <v>0</v>
      </c>
      <c r="J115" s="132">
        <f>J113*'Algandmed '!$B6/100/12</f>
        <v>0</v>
      </c>
      <c r="K115" s="132">
        <f>K113*'Algandmed '!$B6/100/12</f>
        <v>0</v>
      </c>
      <c r="L115" s="132">
        <f>L113*'Algandmed '!$B6/100/12</f>
        <v>0</v>
      </c>
      <c r="M115" s="132">
        <f>M113*'Algandmed '!$B6/100/12</f>
        <v>0</v>
      </c>
      <c r="N115" s="132">
        <f>Bilanss!$B$23*'Algandmed '!B$6/100+SUM(B115:M115)</f>
        <v>0</v>
      </c>
      <c r="O115" s="238">
        <f>Bilanss!$B$23*'Algandmed '!$B$6/100+O113*'Algandmed '!C6/100</f>
        <v>0</v>
      </c>
      <c r="P115" s="238">
        <f>Bilanss!$B$23*'Algandmed '!$B$6/100+P113*'Algandmed '!D6/100</f>
        <v>0</v>
      </c>
      <c r="Q115" s="238">
        <f>Bilanss!$B$23*'Algandmed '!$B$6/100+Q113*'Algandmed '!E6/100</f>
        <v>0</v>
      </c>
    </row>
    <row r="116" spans="1:17" hidden="1" x14ac:dyDescent="0.2"/>
    <row r="117" spans="1:17" hidden="1" x14ac:dyDescent="0.2"/>
  </sheetData>
  <sheetProtection algorithmName="SHA-512" hashValue="sCQ327T9/hFKduW13J1k4goBTg+wrLW+G6w/TbrTy8gKCLohLbJwuAsh7UOI0YdQpSqBvPDRyvRdSiron+Nkvg==" saltValue="SUNjm1xdiChgEXNIsV0hKw==" spinCount="100000" sheet="1" objects="1" scenarios="1" formatCells="0" formatColumns="0" formatRows="0" insertColumns="0" insertRows="0" deleteColumns="0" deleteRows="0"/>
  <phoneticPr fontId="2" type="noConversion"/>
  <conditionalFormatting sqref="B97:Q97">
    <cfRule type="cellIs" dxfId="8" priority="1" stopIfTrue="1" operator="lessThan">
      <formula>0</formula>
    </cfRule>
  </conditionalFormatting>
  <conditionalFormatting sqref="N90">
    <cfRule type="expression" dxfId="7" priority="2" stopIfTrue="1">
      <formula>SUM(B90:M90)=N99</formula>
    </cfRule>
    <cfRule type="expression" dxfId="6" priority="3" stopIfTrue="1">
      <formula>N99-SUM(B90:M90)&lt;0</formula>
    </cfRule>
    <cfRule type="expression" dxfId="5" priority="4" stopIfTrue="1">
      <formula>N99-SUM(B90:M90)&gt;0</formula>
    </cfRule>
  </conditionalFormatting>
  <conditionalFormatting sqref="N91">
    <cfRule type="expression" dxfId="4" priority="8" stopIfTrue="1">
      <formula>SUM(B91:M91)&lt;N98</formula>
    </cfRule>
    <cfRule type="expression" dxfId="3" priority="9" stopIfTrue="1">
      <formula>AND(SUM(B91:M91)&gt;=N98,SUM(B91:M91)&lt;=(N98+SUM(B22:M22)))</formula>
    </cfRule>
    <cfRule type="expression" dxfId="2" priority="10" stopIfTrue="1">
      <formula>SUM(B91:M91)&gt;(N98+SUM(B22:M22))</formula>
    </cfRule>
  </conditionalFormatting>
  <dataValidations xWindow="829" yWindow="474" count="2">
    <dataValidation allowBlank="1" showInputMessage="1" showErrorMessage="1" prompt="Lahtri sisu ei saa olla suurem ega väiksem kui bilansi rea B33 ehk &quot;Lühiajalised võlakohustused (laenud, kapitalirent)&quot; ja kassavoogude rea N22  summa." sqref="N91"/>
    <dataValidation allowBlank="1" showInputMessage="1" showErrorMessage="1" prompt="Lahtri sisu (summa) ei saa olla suurem kui bilansi real B34 ehk &quot;Pikaajaliste laenude, kapitalirendi lühiajaline osa&quot; näidatud summa!_x000a_" sqref="N90"/>
  </dataValidations>
  <pageMargins left="0.19685039370078741" right="0.19685039370078741" top="0.39370078740157483" bottom="0.35433070866141736" header="0" footer="0"/>
  <pageSetup paperSize="8" scale="67" orientation="landscape" r:id="rId1"/>
  <headerFooter alignWithMargins="0">
    <oddHeader>&amp;L&amp;"Arial,Kursiiv"&amp;8Finantsprognoosid alustavale ettevõtjale</oddHeader>
  </headerFooter>
  <rowBreaks count="3" manualBreakCount="3">
    <brk id="44" max="16" man="1"/>
    <brk id="52" max="16" man="1"/>
    <brk id="10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eht4">
    <pageSetUpPr fitToPage="1"/>
  </sheetPr>
  <dimension ref="A1:F72"/>
  <sheetViews>
    <sheetView zoomScaleNormal="100" workbookViewId="0">
      <selection activeCell="M29" sqref="M29"/>
    </sheetView>
  </sheetViews>
  <sheetFormatPr defaultRowHeight="12.75" x14ac:dyDescent="0.2"/>
  <cols>
    <col min="1" max="1" width="42.28515625" style="155" customWidth="1"/>
    <col min="2" max="2" width="14" style="382" customWidth="1"/>
    <col min="3" max="5" width="12.42578125" style="130" customWidth="1"/>
    <col min="6" max="6" width="12.42578125" style="134" customWidth="1"/>
    <col min="7" max="16384" width="9.140625" style="134"/>
  </cols>
  <sheetData>
    <row r="1" spans="1:6" x14ac:dyDescent="0.2">
      <c r="A1" s="133" t="s">
        <v>55</v>
      </c>
      <c r="B1" s="408" t="s">
        <v>278</v>
      </c>
      <c r="C1" s="65" t="s">
        <v>54</v>
      </c>
      <c r="D1" s="65" t="s">
        <v>1</v>
      </c>
      <c r="E1" s="65" t="s">
        <v>2</v>
      </c>
      <c r="F1" s="65" t="s">
        <v>119</v>
      </c>
    </row>
    <row r="2" spans="1:6" ht="19.5" customHeight="1" x14ac:dyDescent="0.2">
      <c r="A2" s="133"/>
      <c r="B2" s="408"/>
      <c r="C2" s="391">
        <f>Kassavood!N2</f>
        <v>2021</v>
      </c>
      <c r="D2" s="391">
        <f>Kassavood!O2</f>
        <v>2022</v>
      </c>
      <c r="E2" s="391">
        <f>Kassavood!P2</f>
        <v>2023</v>
      </c>
      <c r="F2" s="391">
        <f>Kassavood!Q2</f>
        <v>2024</v>
      </c>
    </row>
    <row r="3" spans="1:6" ht="17.25" customHeight="1" x14ac:dyDescent="0.2">
      <c r="A3" s="133"/>
      <c r="B3" s="360"/>
      <c r="C3" s="65"/>
      <c r="D3" s="65"/>
      <c r="E3" s="65"/>
      <c r="F3" s="65"/>
    </row>
    <row r="4" spans="1:6" x14ac:dyDescent="0.2">
      <c r="A4" s="135" t="s">
        <v>61</v>
      </c>
      <c r="B4" s="361"/>
      <c r="C4" s="77"/>
      <c r="D4" s="77"/>
      <c r="E4" s="77"/>
      <c r="F4" s="77"/>
    </row>
    <row r="5" spans="1:6" x14ac:dyDescent="0.2">
      <c r="A5" s="136" t="s">
        <v>4</v>
      </c>
      <c r="B5" s="362"/>
      <c r="C5" s="190">
        <f>Kassavood!N7</f>
        <v>0</v>
      </c>
      <c r="D5" s="190">
        <f>Kassavood!O7</f>
        <v>0</v>
      </c>
      <c r="E5" s="190">
        <f>Kassavood!P7</f>
        <v>0</v>
      </c>
      <c r="F5" s="190">
        <f>Kassavood!Q7</f>
        <v>0</v>
      </c>
    </row>
    <row r="6" spans="1:6" x14ac:dyDescent="0.2">
      <c r="A6" s="137" t="s">
        <v>117</v>
      </c>
      <c r="B6" s="363"/>
      <c r="C6" s="190">
        <f>Kassavood!N9</f>
        <v>0</v>
      </c>
      <c r="D6" s="190">
        <f>Kassavood!O9</f>
        <v>0</v>
      </c>
      <c r="E6" s="190">
        <f>Kassavood!P9</f>
        <v>0</v>
      </c>
      <c r="F6" s="190">
        <f>Kassavood!Q9</f>
        <v>0</v>
      </c>
    </row>
    <row r="7" spans="1:6" x14ac:dyDescent="0.2">
      <c r="A7" s="137" t="s">
        <v>121</v>
      </c>
      <c r="B7" s="363"/>
      <c r="C7" s="258" t="str">
        <f>IF(C6&gt;0,C6/C5,"")</f>
        <v/>
      </c>
      <c r="D7" s="258" t="str">
        <f>IF(D6&gt;0,D6/D5,"")</f>
        <v/>
      </c>
      <c r="E7" s="258" t="str">
        <f>IF(E6&gt;0,E6/E5,"")</f>
        <v/>
      </c>
      <c r="F7" s="258" t="str">
        <f>IF(F6&gt;0,F6/F5,"")</f>
        <v/>
      </c>
    </row>
    <row r="8" spans="1:6" x14ac:dyDescent="0.2">
      <c r="A8" s="138" t="s">
        <v>51</v>
      </c>
      <c r="B8" s="363"/>
      <c r="C8" s="190">
        <f>Kassavood!N10</f>
        <v>0</v>
      </c>
      <c r="D8" s="190">
        <f>Kassavood!O10</f>
        <v>0</v>
      </c>
      <c r="E8" s="190">
        <f>Kassavood!P10</f>
        <v>0</v>
      </c>
      <c r="F8" s="190">
        <f>Kassavood!Q10</f>
        <v>0</v>
      </c>
    </row>
    <row r="9" spans="1:6" x14ac:dyDescent="0.2">
      <c r="A9" s="138" t="s">
        <v>52</v>
      </c>
      <c r="B9" s="363"/>
      <c r="C9" s="191">
        <f>IF(C5&gt;0,C5/C8,0)</f>
        <v>0</v>
      </c>
      <c r="D9" s="191">
        <f>IF(D5&gt;0,D5/D8,0)</f>
        <v>0</v>
      </c>
      <c r="E9" s="191">
        <f>IF(E5&gt;0,E5/E8,0)</f>
        <v>0</v>
      </c>
      <c r="F9" s="191">
        <f>IF(F5&gt;0,F5/F8,0)</f>
        <v>0</v>
      </c>
    </row>
    <row r="10" spans="1:6" x14ac:dyDescent="0.2">
      <c r="A10" s="136" t="s">
        <v>114</v>
      </c>
      <c r="B10" s="362"/>
      <c r="C10" s="190">
        <f>Kassavood!N18+Kassavood!N29</f>
        <v>0</v>
      </c>
      <c r="D10" s="190">
        <f>Kassavood!O18+Kassavood!O29</f>
        <v>0</v>
      </c>
      <c r="E10" s="190">
        <f>Kassavood!P18+Kassavood!P29</f>
        <v>0</v>
      </c>
      <c r="F10" s="190">
        <f>Kassavood!Q18+Kassavood!Q29</f>
        <v>0</v>
      </c>
    </row>
    <row r="11" spans="1:6" x14ac:dyDescent="0.2">
      <c r="A11" s="139" t="s">
        <v>56</v>
      </c>
      <c r="B11" s="364">
        <f>B5+B10</f>
        <v>0</v>
      </c>
      <c r="C11" s="192">
        <f>C5+C10</f>
        <v>0</v>
      </c>
      <c r="D11" s="192">
        <f>D5+D10</f>
        <v>0</v>
      </c>
      <c r="E11" s="192">
        <f>E5+E10</f>
        <v>0</v>
      </c>
      <c r="F11" s="192">
        <f>F5+F10</f>
        <v>0</v>
      </c>
    </row>
    <row r="12" spans="1:6" x14ac:dyDescent="0.2">
      <c r="A12" s="339" t="s">
        <v>257</v>
      </c>
      <c r="B12" s="365"/>
      <c r="C12" s="340">
        <f>Kassavood!N26</f>
        <v>0</v>
      </c>
      <c r="D12" s="340">
        <f>Kassavood!O26</f>
        <v>0</v>
      </c>
      <c r="E12" s="340">
        <f>Kassavood!P26</f>
        <v>0</v>
      </c>
      <c r="F12" s="340">
        <f>Kassavood!Q26</f>
        <v>0</v>
      </c>
    </row>
    <row r="13" spans="1:6" x14ac:dyDescent="0.2">
      <c r="A13" s="359" t="s">
        <v>286</v>
      </c>
      <c r="B13" s="365">
        <f>B5+B12</f>
        <v>0</v>
      </c>
      <c r="C13" s="341">
        <f>C5+C10+C12</f>
        <v>0</v>
      </c>
      <c r="D13" s="341">
        <f>D5+D10+D12</f>
        <v>0</v>
      </c>
      <c r="E13" s="341">
        <f>E5+E10+E12</f>
        <v>0</v>
      </c>
      <c r="F13" s="341">
        <f>F5+F10+F12</f>
        <v>0</v>
      </c>
    </row>
    <row r="14" spans="1:6" ht="15" customHeight="1" x14ac:dyDescent="0.2">
      <c r="A14" s="140"/>
      <c r="B14" s="366"/>
      <c r="C14" s="167"/>
      <c r="D14" s="167"/>
      <c r="E14" s="167"/>
      <c r="F14" s="167"/>
    </row>
    <row r="15" spans="1:6" x14ac:dyDescent="0.2">
      <c r="A15" s="140" t="s">
        <v>206</v>
      </c>
      <c r="B15" s="366"/>
      <c r="C15" s="167"/>
      <c r="D15" s="257" t="e">
        <f>(D11-C11)/ABS(C11)</f>
        <v>#DIV/0!</v>
      </c>
      <c r="E15" s="342" t="e">
        <f>(E11-D11)/ABS(D11)</f>
        <v>#DIV/0!</v>
      </c>
      <c r="F15" s="257" t="e">
        <f>(F11-E11)/ABS(E11)</f>
        <v>#DIV/0!</v>
      </c>
    </row>
    <row r="16" spans="1:6" ht="3.75" customHeight="1" x14ac:dyDescent="0.2">
      <c r="A16" s="141"/>
      <c r="B16" s="367"/>
      <c r="C16" s="167"/>
      <c r="D16" s="167"/>
      <c r="E16" s="167"/>
      <c r="F16" s="167"/>
    </row>
    <row r="17" spans="1:6" x14ac:dyDescent="0.2">
      <c r="A17" s="142" t="s">
        <v>26</v>
      </c>
      <c r="B17" s="361"/>
      <c r="C17" s="168"/>
      <c r="D17" s="168"/>
      <c r="E17" s="168"/>
      <c r="F17" s="168"/>
    </row>
    <row r="18" spans="1:6" x14ac:dyDescent="0.2">
      <c r="A18" s="143" t="s">
        <v>28</v>
      </c>
      <c r="B18" s="366"/>
      <c r="C18" s="168"/>
      <c r="D18" s="168"/>
      <c r="E18" s="168"/>
      <c r="F18" s="168"/>
    </row>
    <row r="19" spans="1:6" x14ac:dyDescent="0.2">
      <c r="A19" s="136" t="str">
        <f>Kassavood!A48</f>
        <v>Toore ja materjal</v>
      </c>
      <c r="B19" s="368"/>
      <c r="C19" s="193">
        <f>Tooted!R5</f>
        <v>0</v>
      </c>
      <c r="D19" s="193">
        <f>Tooted!S5</f>
        <v>0</v>
      </c>
      <c r="E19" s="193">
        <f>Tooted!T5</f>
        <v>0</v>
      </c>
      <c r="F19" s="193">
        <f>Tooted!U5</f>
        <v>0</v>
      </c>
    </row>
    <row r="20" spans="1:6" x14ac:dyDescent="0.2">
      <c r="A20" s="144" t="str">
        <f>Kassavood!A49</f>
        <v>Ostuteenused</v>
      </c>
      <c r="B20" s="369"/>
      <c r="C20" s="190">
        <f>Kassavood!N49</f>
        <v>0</v>
      </c>
      <c r="D20" s="190">
        <f>Kassavood!O49</f>
        <v>0</v>
      </c>
      <c r="E20" s="190">
        <f>Kassavood!P49</f>
        <v>0</v>
      </c>
      <c r="F20" s="190">
        <f>Kassavood!Q49</f>
        <v>0</v>
      </c>
    </row>
    <row r="21" spans="1:6" x14ac:dyDescent="0.2">
      <c r="A21" s="145"/>
      <c r="B21" s="370">
        <f>SUM(B19:B20)</f>
        <v>0</v>
      </c>
      <c r="C21" s="194">
        <f>SUM(C19:C20)</f>
        <v>0</v>
      </c>
      <c r="D21" s="194">
        <f>SUM(D19:D20)</f>
        <v>0</v>
      </c>
      <c r="E21" s="194">
        <f>SUM(E19:E20)</f>
        <v>0</v>
      </c>
      <c r="F21" s="194">
        <f>SUM(F19:F20)</f>
        <v>0</v>
      </c>
    </row>
    <row r="22" spans="1:6" x14ac:dyDescent="0.2">
      <c r="A22" s="143" t="s">
        <v>27</v>
      </c>
      <c r="B22" s="371"/>
      <c r="C22" s="194"/>
      <c r="D22" s="194"/>
      <c r="E22" s="194"/>
      <c r="F22" s="194"/>
    </row>
    <row r="23" spans="1:6" x14ac:dyDescent="0.2">
      <c r="A23" s="144" t="str">
        <f>Kassavood!A53</f>
        <v>Reklaamikulud</v>
      </c>
      <c r="B23" s="372"/>
      <c r="C23" s="190">
        <f>Kassavood!N53</f>
        <v>0</v>
      </c>
      <c r="D23" s="190">
        <f>Kassavood!O53</f>
        <v>0</v>
      </c>
      <c r="E23" s="190">
        <f>Kassavood!P53</f>
        <v>0</v>
      </c>
      <c r="F23" s="190">
        <f>Kassavood!Q53</f>
        <v>0</v>
      </c>
    </row>
    <row r="24" spans="1:6" x14ac:dyDescent="0.2">
      <c r="A24" s="136" t="str">
        <f>Kassavood!A54</f>
        <v>Turustamisega seotud transporditeenused</v>
      </c>
      <c r="B24" s="373"/>
      <c r="C24" s="195">
        <f>Kassavood!N54</f>
        <v>0</v>
      </c>
      <c r="D24" s="195">
        <f>Kassavood!O54</f>
        <v>0</v>
      </c>
      <c r="E24" s="195">
        <f>Kassavood!P54</f>
        <v>0</v>
      </c>
      <c r="F24" s="195">
        <f>Kassavood!Q54</f>
        <v>0</v>
      </c>
    </row>
    <row r="25" spans="1:6" x14ac:dyDescent="0.2">
      <c r="A25" s="136" t="str">
        <f>Kassavood!A55</f>
        <v>Turustamisega seotud autokütus</v>
      </c>
      <c r="B25" s="374"/>
      <c r="C25" s="190">
        <f>Kassavood!N55</f>
        <v>0</v>
      </c>
      <c r="D25" s="190">
        <f>Kassavood!O55</f>
        <v>0</v>
      </c>
      <c r="E25" s="190">
        <f>Kassavood!P55</f>
        <v>0</v>
      </c>
      <c r="F25" s="190">
        <f>Kassavood!Q55</f>
        <v>0</v>
      </c>
    </row>
    <row r="26" spans="1:6" x14ac:dyDescent="0.2">
      <c r="A26" s="145"/>
      <c r="B26" s="370">
        <f>SUM(B23:B25)</f>
        <v>0</v>
      </c>
      <c r="C26" s="194">
        <f>SUM(C23:C25)</f>
        <v>0</v>
      </c>
      <c r="D26" s="194">
        <f>SUM(D23:D25)</f>
        <v>0</v>
      </c>
      <c r="E26" s="194">
        <f>SUM(E23:E25)</f>
        <v>0</v>
      </c>
      <c r="F26" s="194">
        <f>SUM(F23:F25)</f>
        <v>0</v>
      </c>
    </row>
    <row r="27" spans="1:6" x14ac:dyDescent="0.2">
      <c r="A27" s="146" t="s">
        <v>31</v>
      </c>
      <c r="B27" s="366"/>
      <c r="C27" s="194"/>
      <c r="D27" s="194"/>
      <c r="E27" s="194"/>
      <c r="F27" s="194"/>
    </row>
    <row r="28" spans="1:6" x14ac:dyDescent="0.2">
      <c r="A28" s="147" t="s">
        <v>42</v>
      </c>
      <c r="B28" s="366"/>
      <c r="C28" s="194"/>
      <c r="D28" s="194"/>
      <c r="E28" s="194"/>
      <c r="F28" s="194"/>
    </row>
    <row r="29" spans="1:6" x14ac:dyDescent="0.2">
      <c r="A29" s="136" t="str">
        <f>Kassavood!A60</f>
        <v>Küte</v>
      </c>
      <c r="B29" s="362"/>
      <c r="C29" s="190">
        <f>Kassavood!N60</f>
        <v>0</v>
      </c>
      <c r="D29" s="190">
        <f>Kassavood!O60</f>
        <v>0</v>
      </c>
      <c r="E29" s="190">
        <f>Kassavood!P60</f>
        <v>0</v>
      </c>
      <c r="F29" s="190">
        <f>Kassavood!Q60</f>
        <v>0</v>
      </c>
    </row>
    <row r="30" spans="1:6" x14ac:dyDescent="0.2">
      <c r="A30" s="136" t="str">
        <f>Kassavood!A61</f>
        <v>Elekter</v>
      </c>
      <c r="B30" s="362"/>
      <c r="C30" s="190">
        <f>Kassavood!N61</f>
        <v>0</v>
      </c>
      <c r="D30" s="190">
        <f>Kassavood!O61</f>
        <v>0</v>
      </c>
      <c r="E30" s="190">
        <f>Kassavood!P61</f>
        <v>0</v>
      </c>
      <c r="F30" s="190">
        <f>Kassavood!Q61</f>
        <v>0</v>
      </c>
    </row>
    <row r="31" spans="1:6" x14ac:dyDescent="0.2">
      <c r="A31" s="136" t="str">
        <f>Kassavood!A62</f>
        <v>Rent</v>
      </c>
      <c r="B31" s="362"/>
      <c r="C31" s="190">
        <f>Kassavood!N62</f>
        <v>0</v>
      </c>
      <c r="D31" s="190">
        <f>Kassavood!O62</f>
        <v>0</v>
      </c>
      <c r="E31" s="190">
        <f>Kassavood!P62</f>
        <v>0</v>
      </c>
      <c r="F31" s="190">
        <f>Kassavood!Q62</f>
        <v>0</v>
      </c>
    </row>
    <row r="32" spans="1:6" x14ac:dyDescent="0.2">
      <c r="A32" s="136" t="str">
        <f>Kassavood!A63</f>
        <v>Valveteenused</v>
      </c>
      <c r="B32" s="362"/>
      <c r="C32" s="190">
        <f>Kassavood!N63</f>
        <v>0</v>
      </c>
      <c r="D32" s="190">
        <f>Kassavood!O63</f>
        <v>0</v>
      </c>
      <c r="E32" s="190">
        <f>Kassavood!P63</f>
        <v>0</v>
      </c>
      <c r="F32" s="190">
        <f>Kassavood!Q63</f>
        <v>0</v>
      </c>
    </row>
    <row r="33" spans="1:6" x14ac:dyDescent="0.2">
      <c r="A33" s="136" t="str">
        <f>Kassavood!A64</f>
        <v>Ruumide korrashoiukulud</v>
      </c>
      <c r="B33" s="362"/>
      <c r="C33" s="190">
        <f>Kassavood!N64</f>
        <v>0</v>
      </c>
      <c r="D33" s="190">
        <f>Kassavood!O64</f>
        <v>0</v>
      </c>
      <c r="E33" s="190">
        <f>Kassavood!P64</f>
        <v>0</v>
      </c>
      <c r="F33" s="190">
        <f>Kassavood!Q64</f>
        <v>0</v>
      </c>
    </row>
    <row r="34" spans="1:6" x14ac:dyDescent="0.2">
      <c r="A34" s="136" t="str">
        <f>Kassavood!A65</f>
        <v>Ruumide remondikulud</v>
      </c>
      <c r="B34" s="368"/>
      <c r="C34" s="193">
        <f>Kassavood!N65</f>
        <v>0</v>
      </c>
      <c r="D34" s="193">
        <f>Kassavood!O65</f>
        <v>0</v>
      </c>
      <c r="E34" s="193">
        <f>Kassavood!P65</f>
        <v>0</v>
      </c>
      <c r="F34" s="193">
        <f>Kassavood!Q65</f>
        <v>0</v>
      </c>
    </row>
    <row r="35" spans="1:6" x14ac:dyDescent="0.2">
      <c r="A35" s="136" t="str">
        <f>Kassavood!A66</f>
        <v>Ruumide kindlustus</v>
      </c>
      <c r="B35" s="362"/>
      <c r="C35" s="190">
        <f>Kassavood!N66</f>
        <v>0</v>
      </c>
      <c r="D35" s="190">
        <f>Kassavood!O66</f>
        <v>0</v>
      </c>
      <c r="E35" s="190">
        <f>Kassavood!P66</f>
        <v>0</v>
      </c>
      <c r="F35" s="190">
        <f>Kassavood!Q66</f>
        <v>0</v>
      </c>
    </row>
    <row r="36" spans="1:6" x14ac:dyDescent="0.2">
      <c r="A36" s="147" t="s">
        <v>30</v>
      </c>
      <c r="B36" s="366"/>
      <c r="C36" s="194"/>
      <c r="D36" s="194"/>
      <c r="E36" s="194"/>
      <c r="F36" s="194"/>
    </row>
    <row r="37" spans="1:6" x14ac:dyDescent="0.2">
      <c r="A37" s="136" t="str">
        <f>Kassavood!A68</f>
        <v>Ostetud transporditeenused</v>
      </c>
      <c r="B37" s="362"/>
      <c r="C37" s="190">
        <f>Kassavood!N68</f>
        <v>0</v>
      </c>
      <c r="D37" s="190">
        <f>Kassavood!O68</f>
        <v>0</v>
      </c>
      <c r="E37" s="190">
        <f>Kassavood!P68</f>
        <v>0</v>
      </c>
      <c r="F37" s="190">
        <f>Kassavood!Q68</f>
        <v>0</v>
      </c>
    </row>
    <row r="38" spans="1:6" x14ac:dyDescent="0.2">
      <c r="A38" s="136" t="str">
        <f>Kassavood!A69</f>
        <v>Autokütus</v>
      </c>
      <c r="B38" s="375"/>
      <c r="C38" s="195">
        <f>Kassavood!N69</f>
        <v>0</v>
      </c>
      <c r="D38" s="195">
        <f>Kassavood!O69</f>
        <v>0</v>
      </c>
      <c r="E38" s="195">
        <f>Kassavood!P69</f>
        <v>0</v>
      </c>
      <c r="F38" s="195">
        <f>Kassavood!Q69</f>
        <v>0</v>
      </c>
    </row>
    <row r="39" spans="1:6" x14ac:dyDescent="0.2">
      <c r="A39" s="136" t="str">
        <f>Kassavood!A70</f>
        <v>Autohooldus ja remondikulud</v>
      </c>
      <c r="B39" s="368"/>
      <c r="C39" s="193">
        <f>Kassavood!N70</f>
        <v>0</v>
      </c>
      <c r="D39" s="193">
        <f>Kassavood!O70</f>
        <v>0</v>
      </c>
      <c r="E39" s="193">
        <f>Kassavood!P70</f>
        <v>0</v>
      </c>
      <c r="F39" s="193">
        <f>Kassavood!Q70</f>
        <v>0</v>
      </c>
    </row>
    <row r="40" spans="1:6" x14ac:dyDescent="0.2">
      <c r="A40" s="136" t="str">
        <f>Kassavood!A71</f>
        <v>Sõidukite kindlustus</v>
      </c>
      <c r="B40" s="362"/>
      <c r="C40" s="190">
        <f>Kassavood!N71</f>
        <v>0</v>
      </c>
      <c r="D40" s="190">
        <f>Kassavood!O71</f>
        <v>0</v>
      </c>
      <c r="E40" s="190">
        <f>Kassavood!P71</f>
        <v>0</v>
      </c>
      <c r="F40" s="190">
        <f>Kassavood!Q71</f>
        <v>0</v>
      </c>
    </row>
    <row r="41" spans="1:6" x14ac:dyDescent="0.2">
      <c r="A41" s="147" t="s">
        <v>39</v>
      </c>
      <c r="B41" s="366"/>
      <c r="C41" s="194"/>
      <c r="D41" s="194"/>
      <c r="E41" s="194"/>
      <c r="F41" s="194"/>
    </row>
    <row r="42" spans="1:6" x14ac:dyDescent="0.2">
      <c r="A42" s="136" t="str">
        <f>Kassavood!A73</f>
        <v>GSM</v>
      </c>
      <c r="B42" s="362"/>
      <c r="C42" s="190">
        <f>Kassavood!N73</f>
        <v>0</v>
      </c>
      <c r="D42" s="190">
        <f>Kassavood!O73</f>
        <v>0</v>
      </c>
      <c r="E42" s="190">
        <f>Kassavood!P73</f>
        <v>0</v>
      </c>
      <c r="F42" s="190">
        <f>Kassavood!Q73</f>
        <v>0</v>
      </c>
    </row>
    <row r="43" spans="1:6" x14ac:dyDescent="0.2">
      <c r="A43" s="136" t="str">
        <f>Kassavood!A74</f>
        <v>Tavatelefon</v>
      </c>
      <c r="B43" s="376"/>
      <c r="C43" s="196">
        <f>Kassavood!N74</f>
        <v>0</v>
      </c>
      <c r="D43" s="196">
        <f>Kassavood!O74</f>
        <v>0</v>
      </c>
      <c r="E43" s="196">
        <f>Kassavood!P74</f>
        <v>0</v>
      </c>
      <c r="F43" s="196">
        <f>Kassavood!Q74</f>
        <v>0</v>
      </c>
    </row>
    <row r="44" spans="1:6" x14ac:dyDescent="0.2">
      <c r="A44" s="136" t="str">
        <f>Kassavood!A75</f>
        <v>Arvutustehnika ja tarkavaraga seotud kulu</v>
      </c>
      <c r="B44" s="362"/>
      <c r="C44" s="190">
        <f>Kassavood!N75</f>
        <v>0</v>
      </c>
      <c r="D44" s="190">
        <f>Kassavood!O75</f>
        <v>0</v>
      </c>
      <c r="E44" s="190">
        <f>Kassavood!P75</f>
        <v>0</v>
      </c>
      <c r="F44" s="190">
        <f>Kassavood!Q75</f>
        <v>0</v>
      </c>
    </row>
    <row r="45" spans="1:6" x14ac:dyDescent="0.2">
      <c r="A45" s="143" t="s">
        <v>45</v>
      </c>
      <c r="B45" s="366"/>
      <c r="C45" s="194"/>
      <c r="D45" s="194"/>
      <c r="E45" s="194"/>
      <c r="F45" s="194"/>
    </row>
    <row r="46" spans="1:6" x14ac:dyDescent="0.2">
      <c r="A46" s="148" t="str">
        <f>Kassavood!A77</f>
        <v>Kantseleitarbed</v>
      </c>
      <c r="B46" s="362"/>
      <c r="C46" s="190">
        <f>Kassavood!N77</f>
        <v>0</v>
      </c>
      <c r="D46" s="190">
        <f>Kassavood!O77</f>
        <v>0</v>
      </c>
      <c r="E46" s="190">
        <f>Kassavood!P77</f>
        <v>0</v>
      </c>
      <c r="F46" s="190">
        <f>Kassavood!Q77</f>
        <v>0</v>
      </c>
    </row>
    <row r="47" spans="1:6" x14ac:dyDescent="0.2">
      <c r="A47" s="148" t="str">
        <f>Kassavood!A78</f>
        <v>Pangakulu</v>
      </c>
      <c r="B47" s="375"/>
      <c r="C47" s="195">
        <f>Kassavood!N78</f>
        <v>0</v>
      </c>
      <c r="D47" s="195">
        <f>Kassavood!O78</f>
        <v>0</v>
      </c>
      <c r="E47" s="195">
        <f>Kassavood!P78</f>
        <v>0</v>
      </c>
      <c r="F47" s="195">
        <f>Kassavood!Q78</f>
        <v>0</v>
      </c>
    </row>
    <row r="48" spans="1:6" x14ac:dyDescent="0.2">
      <c r="A48" s="148" t="str">
        <f>Kassavood!A79</f>
        <v>Seadmete hooldus ja remont</v>
      </c>
      <c r="B48" s="368"/>
      <c r="C48" s="193">
        <f>Kassavood!N79</f>
        <v>0</v>
      </c>
      <c r="D48" s="193">
        <f>Kassavood!O79</f>
        <v>0</v>
      </c>
      <c r="E48" s="193">
        <f>Kassavood!P79</f>
        <v>0</v>
      </c>
      <c r="F48" s="193">
        <f>Kassavood!Q79</f>
        <v>0</v>
      </c>
    </row>
    <row r="49" spans="1:6" x14ac:dyDescent="0.2">
      <c r="A49" s="148" t="str">
        <f>Kassavood!A80</f>
        <v>Muud kulud</v>
      </c>
      <c r="B49" s="362"/>
      <c r="C49" s="190">
        <f>Kassavood!N80</f>
        <v>0</v>
      </c>
      <c r="D49" s="190">
        <f>Kassavood!O80</f>
        <v>0</v>
      </c>
      <c r="E49" s="190">
        <f>Kassavood!P80</f>
        <v>0</v>
      </c>
      <c r="F49" s="190">
        <f>Kassavood!Q80</f>
        <v>0</v>
      </c>
    </row>
    <row r="50" spans="1:6" x14ac:dyDescent="0.2">
      <c r="A50" s="147" t="s">
        <v>41</v>
      </c>
      <c r="B50" s="366"/>
      <c r="C50" s="194"/>
      <c r="D50" s="194"/>
      <c r="E50" s="194"/>
      <c r="F50" s="194"/>
    </row>
    <row r="51" spans="1:6" x14ac:dyDescent="0.2">
      <c r="A51" s="136" t="str">
        <f>Kassavood!A82</f>
        <v>Brutopalk (makstakse välja samal kuul)</v>
      </c>
      <c r="B51" s="362"/>
      <c r="C51" s="190">
        <f>Kassavood!N82</f>
        <v>0</v>
      </c>
      <c r="D51" s="190">
        <f>Kassavood!O82</f>
        <v>0</v>
      </c>
      <c r="E51" s="190">
        <f>Kassavood!P82</f>
        <v>0</v>
      </c>
      <c r="F51" s="190">
        <f>Kassavood!Q82</f>
        <v>0</v>
      </c>
    </row>
    <row r="52" spans="1:6" x14ac:dyDescent="0.2">
      <c r="A52" s="136" t="str">
        <f>Kassavood!A83</f>
        <v>Sotsiaalmaks (tasutakse järgmisel kuul)</v>
      </c>
      <c r="B52" s="375"/>
      <c r="C52" s="195">
        <f>Kassavood!N83</f>
        <v>0</v>
      </c>
      <c r="D52" s="195">
        <f>Kassavood!O83</f>
        <v>0</v>
      </c>
      <c r="E52" s="195">
        <f>Kassavood!P83</f>
        <v>0</v>
      </c>
      <c r="F52" s="195">
        <f>Kassavood!Q83</f>
        <v>0</v>
      </c>
    </row>
    <row r="53" spans="1:6" x14ac:dyDescent="0.2">
      <c r="A53" s="136" t="str">
        <f>Kassavood!A84</f>
        <v>Töötuskindlustusmaks (tasutakse jrgm kuul)</v>
      </c>
      <c r="B53" s="368"/>
      <c r="C53" s="193">
        <f>Kassavood!N84</f>
        <v>0</v>
      </c>
      <c r="D53" s="193">
        <f>Kassavood!O84</f>
        <v>0</v>
      </c>
      <c r="E53" s="193">
        <f>Kassavood!P84</f>
        <v>0</v>
      </c>
      <c r="F53" s="193">
        <f>Kassavood!Q84</f>
        <v>0</v>
      </c>
    </row>
    <row r="54" spans="1:6" x14ac:dyDescent="0.2">
      <c r="A54" s="149" t="s">
        <v>164</v>
      </c>
      <c r="B54" s="377">
        <f>SUM(B51:B53)</f>
        <v>0</v>
      </c>
      <c r="C54" s="197">
        <f>SUM(C51:C53)</f>
        <v>0</v>
      </c>
      <c r="D54" s="197">
        <f>SUM(D51:D53)</f>
        <v>0</v>
      </c>
      <c r="E54" s="197">
        <f>SUM(E51:E53)</f>
        <v>0</v>
      </c>
      <c r="F54" s="197">
        <f>SUM(F51:F53)</f>
        <v>0</v>
      </c>
    </row>
    <row r="55" spans="1:6" x14ac:dyDescent="0.2">
      <c r="A55" s="136" t="str">
        <f>Kassavood!A85</f>
        <v>Koolituskulud</v>
      </c>
      <c r="B55" s="362"/>
      <c r="C55" s="190">
        <f>Kassavood!N85</f>
        <v>0</v>
      </c>
      <c r="D55" s="190">
        <f>Kassavood!O85</f>
        <v>0</v>
      </c>
      <c r="E55" s="190">
        <f>Kassavood!P85</f>
        <v>0</v>
      </c>
      <c r="F55" s="190">
        <f>Kassavood!Q85</f>
        <v>0</v>
      </c>
    </row>
    <row r="56" spans="1:6" x14ac:dyDescent="0.2">
      <c r="A56" s="143" t="s">
        <v>44</v>
      </c>
      <c r="B56" s="366"/>
      <c r="C56" s="194"/>
      <c r="D56" s="194"/>
      <c r="E56" s="194"/>
      <c r="F56" s="194"/>
    </row>
    <row r="57" spans="1:6" x14ac:dyDescent="0.2">
      <c r="A57" s="136" t="str">
        <f>Kassavood!A87</f>
        <v>Muud maksud (riigilõivud jms)</v>
      </c>
      <c r="B57" s="362"/>
      <c r="C57" s="190">
        <f>Kassavood!N87</f>
        <v>0</v>
      </c>
      <c r="D57" s="190">
        <f>Kassavood!O87</f>
        <v>0</v>
      </c>
      <c r="E57" s="190">
        <f>Kassavood!P87</f>
        <v>0</v>
      </c>
      <c r="F57" s="190">
        <f>Kassavood!Q87</f>
        <v>0</v>
      </c>
    </row>
    <row r="58" spans="1:6" x14ac:dyDescent="0.2">
      <c r="A58" s="146" t="s">
        <v>58</v>
      </c>
      <c r="B58" s="366"/>
      <c r="C58" s="194"/>
      <c r="D58" s="194"/>
      <c r="E58" s="194"/>
      <c r="F58" s="194"/>
    </row>
    <row r="59" spans="1:6" x14ac:dyDescent="0.2">
      <c r="A59" s="136" t="s">
        <v>59</v>
      </c>
      <c r="B59" s="362"/>
      <c r="C59" s="190">
        <f>Kassavood!N108</f>
        <v>0</v>
      </c>
      <c r="D59" s="190">
        <f>Kassavood!O108</f>
        <v>0</v>
      </c>
      <c r="E59" s="190">
        <f>Kassavood!P108</f>
        <v>0</v>
      </c>
      <c r="F59" s="190">
        <f>Kassavood!Q108</f>
        <v>0</v>
      </c>
    </row>
    <row r="60" spans="1:6" x14ac:dyDescent="0.2">
      <c r="A60" s="136" t="s">
        <v>190</v>
      </c>
      <c r="B60" s="362"/>
      <c r="C60" s="190">
        <f>Kassavood!N109</f>
        <v>0</v>
      </c>
      <c r="D60" s="190">
        <f>Kassavood!O109</f>
        <v>0</v>
      </c>
      <c r="E60" s="190">
        <f>Kassavood!P109</f>
        <v>0</v>
      </c>
      <c r="F60" s="190">
        <f>Kassavood!Q109</f>
        <v>0</v>
      </c>
    </row>
    <row r="61" spans="1:6" x14ac:dyDescent="0.2">
      <c r="A61" s="136" t="s">
        <v>189</v>
      </c>
      <c r="B61" s="362"/>
      <c r="C61" s="190">
        <f>Kassavood!N114</f>
        <v>0</v>
      </c>
      <c r="D61" s="190">
        <f>Kassavood!O114</f>
        <v>0</v>
      </c>
      <c r="E61" s="190">
        <f>Kassavood!P114</f>
        <v>0</v>
      </c>
      <c r="F61" s="190">
        <f>Kassavood!Q114</f>
        <v>0</v>
      </c>
    </row>
    <row r="62" spans="1:6" x14ac:dyDescent="0.2">
      <c r="A62" s="145"/>
      <c r="B62" s="367"/>
      <c r="C62" s="194">
        <f>SUM(C59:C61)</f>
        <v>0</v>
      </c>
      <c r="D62" s="194">
        <f>SUM(D59:D61)</f>
        <v>0</v>
      </c>
      <c r="E62" s="194">
        <f>SUM(E59:E61)</f>
        <v>0</v>
      </c>
      <c r="F62" s="194">
        <f>SUM(F59:F61)</f>
        <v>0</v>
      </c>
    </row>
    <row r="63" spans="1:6" x14ac:dyDescent="0.2">
      <c r="A63" s="150" t="s">
        <v>57</v>
      </c>
      <c r="B63" s="364">
        <f>SUM(B19:B61)-B21-B26-B54</f>
        <v>0</v>
      </c>
      <c r="C63" s="192">
        <f>SUM(C19:C61)-C21-C26-C54</f>
        <v>0</v>
      </c>
      <c r="D63" s="192">
        <f>SUM(D19:D61)-D21-D26-D54</f>
        <v>0</v>
      </c>
      <c r="E63" s="192">
        <f>SUM(E19:E61)-E21-E26-E54</f>
        <v>0</v>
      </c>
      <c r="F63" s="192">
        <f>SUM(F19:F61)-F21-F26-F54</f>
        <v>0</v>
      </c>
    </row>
    <row r="64" spans="1:6" x14ac:dyDescent="0.2">
      <c r="A64" s="151" t="s">
        <v>169</v>
      </c>
      <c r="B64" s="378">
        <f>SUM(B29:B49)+SUM(B55:B57)</f>
        <v>0</v>
      </c>
      <c r="C64" s="198">
        <f>SUM(C29:C49)+SUM(C55:C57)</f>
        <v>0</v>
      </c>
      <c r="D64" s="198">
        <f>SUM(D29:D49)+SUM(D55:D57)</f>
        <v>0</v>
      </c>
      <c r="E64" s="198">
        <f>SUM(E29:E49)+SUM(E55:E57)</f>
        <v>0</v>
      </c>
      <c r="F64" s="198">
        <f>SUM(F29:F49)+SUM(F55:F57)</f>
        <v>0</v>
      </c>
    </row>
    <row r="65" spans="1:6" x14ac:dyDescent="0.2">
      <c r="A65" s="152" t="s">
        <v>67</v>
      </c>
      <c r="B65" s="366"/>
      <c r="C65" s="199"/>
      <c r="D65" s="199"/>
      <c r="E65" s="199"/>
      <c r="F65" s="199"/>
    </row>
    <row r="66" spans="1:6" x14ac:dyDescent="0.2">
      <c r="A66" s="153" t="s">
        <v>115</v>
      </c>
      <c r="B66" s="379"/>
      <c r="C66" s="192">
        <f>Kassavood!N92</f>
        <v>0</v>
      </c>
      <c r="D66" s="192">
        <f>Kassavood!O92</f>
        <v>0</v>
      </c>
      <c r="E66" s="192">
        <f>Kassavood!P92</f>
        <v>0</v>
      </c>
      <c r="F66" s="192">
        <f>Kassavood!Q92</f>
        <v>0</v>
      </c>
    </row>
    <row r="67" spans="1:6" x14ac:dyDescent="0.2">
      <c r="A67" s="152"/>
      <c r="B67" s="366"/>
      <c r="C67" s="199"/>
      <c r="D67" s="199"/>
      <c r="E67" s="199"/>
      <c r="F67" s="199"/>
    </row>
    <row r="68" spans="1:6" x14ac:dyDescent="0.2">
      <c r="A68" s="354" t="s">
        <v>277</v>
      </c>
      <c r="B68" s="380">
        <f>B11-B63</f>
        <v>0</v>
      </c>
      <c r="C68" s="341">
        <f>C13-C63</f>
        <v>0</v>
      </c>
      <c r="D68" s="341">
        <f>D13-D63</f>
        <v>0</v>
      </c>
      <c r="E68" s="341">
        <f>E13-E63</f>
        <v>0</v>
      </c>
      <c r="F68" s="341">
        <f>F13-F63</f>
        <v>0</v>
      </c>
    </row>
    <row r="69" spans="1:6" x14ac:dyDescent="0.2">
      <c r="A69" s="150" t="s">
        <v>60</v>
      </c>
      <c r="B69" s="380">
        <f>B11-B63-B66</f>
        <v>0</v>
      </c>
      <c r="C69" s="341">
        <f>C13-C63-C66</f>
        <v>0</v>
      </c>
      <c r="D69" s="341">
        <f t="shared" ref="D69:F69" si="0">D13-D63-D66</f>
        <v>0</v>
      </c>
      <c r="E69" s="341">
        <f t="shared" si="0"/>
        <v>0</v>
      </c>
      <c r="F69" s="341">
        <f t="shared" si="0"/>
        <v>0</v>
      </c>
    </row>
    <row r="70" spans="1:6" x14ac:dyDescent="0.2">
      <c r="A70" s="154" t="s">
        <v>178</v>
      </c>
      <c r="B70" s="381" t="e">
        <f>ROUND(Töötajad!B15,2)</f>
        <v>#DIV/0!</v>
      </c>
      <c r="C70" s="169" t="e">
        <f>ROUND(Töötajad!C15,2)</f>
        <v>#DIV/0!</v>
      </c>
      <c r="D70" s="169" t="e">
        <f>ROUND(Töötajad!D15,2)</f>
        <v>#DIV/0!</v>
      </c>
      <c r="E70" s="169" t="e">
        <f>ROUND(Töötajad!E15,2)</f>
        <v>#DIV/0!</v>
      </c>
      <c r="F70" s="169" t="e">
        <f>ROUND(Töötajad!F15,2)</f>
        <v>#DIV/0!</v>
      </c>
    </row>
    <row r="71" spans="1:6" x14ac:dyDescent="0.2">
      <c r="A71" s="130" t="s">
        <v>177</v>
      </c>
      <c r="B71" s="383" t="e">
        <f>IF(B70&gt;0,(B69+B61+B60+B59+B54)/B70,"")</f>
        <v>#DIV/0!</v>
      </c>
      <c r="C71" s="238" t="e">
        <f>IF(C70&gt;0,(C69+C61+C60+C59+C54)/C70,"")</f>
        <v>#DIV/0!</v>
      </c>
      <c r="D71" s="238" t="e">
        <f>IF(D70&gt;0,(D69+D61+D60+D59+D54)/D70,"")</f>
        <v>#DIV/0!</v>
      </c>
      <c r="E71" s="238" t="e">
        <f>IF(E70&gt;0,(E69+E61+E60+E59+E54)/E70,"")</f>
        <v>#DIV/0!</v>
      </c>
      <c r="F71" s="238" t="e">
        <f>IF(F70&gt;0,(F69+F61+F60+F59+F54)/F70,"")</f>
        <v>#DIV/0!</v>
      </c>
    </row>
    <row r="72" spans="1:6" x14ac:dyDescent="0.2">
      <c r="A72" s="130" t="s">
        <v>176</v>
      </c>
      <c r="B72" s="384" t="str">
        <f>IF(B11&gt;0,B69/B11,"")</f>
        <v/>
      </c>
      <c r="C72" s="385" t="str">
        <f t="shared" ref="C72:F72" si="1">IF(C11&gt;0,C69/C11,"")</f>
        <v/>
      </c>
      <c r="D72" s="385" t="str">
        <f t="shared" si="1"/>
        <v/>
      </c>
      <c r="E72" s="385" t="str">
        <f t="shared" si="1"/>
        <v/>
      </c>
      <c r="F72" s="385" t="str">
        <f t="shared" si="1"/>
        <v/>
      </c>
    </row>
  </sheetData>
  <sheetProtection algorithmName="SHA-512" hashValue="Ib9LqGE/Rvv7QPBfpZb8l7BEbUNxmGAfaP77xIe5+dSjvBy+w5flN89DJPrE/FPMvk4igaB5vveMhNYTYR/RaQ==" saltValue="6Hc1Q6IBTBVXESUwhggrrg==" spinCount="100000" sheet="1" objects="1" scenarios="1"/>
  <mergeCells count="1">
    <mergeCell ref="B1:B2"/>
  </mergeCells>
  <phoneticPr fontId="2" type="noConversion"/>
  <conditionalFormatting sqref="B69:F70">
    <cfRule type="cellIs" dxfId="1" priority="2" stopIfTrue="1" operator="lessThan">
      <formula>0</formula>
    </cfRule>
  </conditionalFormatting>
  <conditionalFormatting sqref="B68:F68">
    <cfRule type="cellIs" dxfId="0" priority="1" stopIfTrue="1" operator="lessThan">
      <formula>0</formula>
    </cfRule>
  </conditionalFormatting>
  <pageMargins left="0.59055118110236227" right="0.74803149606299213" top="0.39370078740157483" bottom="0.19685039370078741" header="0" footer="0"/>
  <pageSetup paperSize="9" scale="8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6"/>
  <dimension ref="A1:F15"/>
  <sheetViews>
    <sheetView workbookViewId="0">
      <selection activeCell="C2" sqref="C2"/>
    </sheetView>
  </sheetViews>
  <sheetFormatPr defaultRowHeight="12.75" x14ac:dyDescent="0.2"/>
  <cols>
    <col min="1" max="1" width="14.85546875" customWidth="1"/>
    <col min="2" max="2" width="12.85546875" customWidth="1"/>
    <col min="3" max="6" width="10.42578125" customWidth="1"/>
  </cols>
  <sheetData>
    <row r="1" spans="1:6" x14ac:dyDescent="0.2">
      <c r="C1" s="409" t="s">
        <v>179</v>
      </c>
      <c r="D1" s="409"/>
      <c r="E1" s="409"/>
      <c r="F1" s="409"/>
    </row>
    <row r="2" spans="1:6" ht="33.75" x14ac:dyDescent="0.2">
      <c r="B2" s="355" t="s">
        <v>278</v>
      </c>
      <c r="C2">
        <f>Kassavood!N2</f>
        <v>2021</v>
      </c>
      <c r="D2">
        <f>Kassavood!O2</f>
        <v>2022</v>
      </c>
      <c r="E2">
        <f>Kassavood!P2</f>
        <v>2023</v>
      </c>
      <c r="F2">
        <f>Kassavood!Q2</f>
        <v>2024</v>
      </c>
    </row>
    <row r="3" spans="1:6" x14ac:dyDescent="0.2">
      <c r="A3" s="53">
        <f>Kassavood!B2</f>
        <v>44197</v>
      </c>
      <c r="B3" s="357"/>
      <c r="C3" s="357"/>
      <c r="D3" s="357"/>
      <c r="E3" s="357"/>
      <c r="F3" s="357"/>
    </row>
    <row r="4" spans="1:6" x14ac:dyDescent="0.2">
      <c r="A4" s="53">
        <f>Kassavood!C2</f>
        <v>44228</v>
      </c>
      <c r="B4" s="357"/>
      <c r="C4" s="357"/>
      <c r="D4" s="357"/>
      <c r="E4" s="357"/>
      <c r="F4" s="357"/>
    </row>
    <row r="5" spans="1:6" x14ac:dyDescent="0.2">
      <c r="A5" s="53">
        <f>Kassavood!D2</f>
        <v>44256</v>
      </c>
      <c r="B5" s="357"/>
      <c r="C5" s="357"/>
      <c r="D5" s="357"/>
      <c r="E5" s="357"/>
      <c r="F5" s="357"/>
    </row>
    <row r="6" spans="1:6" x14ac:dyDescent="0.2">
      <c r="A6" s="53">
        <f>Kassavood!E2</f>
        <v>44287</v>
      </c>
      <c r="B6" s="357"/>
      <c r="C6" s="357"/>
      <c r="D6" s="357"/>
      <c r="E6" s="357"/>
      <c r="F6" s="357"/>
    </row>
    <row r="7" spans="1:6" x14ac:dyDescent="0.2">
      <c r="A7" s="53">
        <f>Kassavood!F2</f>
        <v>44325</v>
      </c>
      <c r="B7" s="357"/>
      <c r="C7" s="357"/>
      <c r="D7" s="357"/>
      <c r="E7" s="357"/>
      <c r="F7" s="357"/>
    </row>
    <row r="8" spans="1:6" x14ac:dyDescent="0.2">
      <c r="A8" s="53">
        <f>Kassavood!G2</f>
        <v>44356</v>
      </c>
      <c r="B8" s="357"/>
      <c r="C8" s="357"/>
      <c r="D8" s="357"/>
      <c r="E8" s="357"/>
      <c r="F8" s="357"/>
    </row>
    <row r="9" spans="1:6" x14ac:dyDescent="0.2">
      <c r="A9" s="53">
        <f>Kassavood!H2</f>
        <v>44386</v>
      </c>
      <c r="B9" s="357"/>
      <c r="C9" s="357"/>
      <c r="D9" s="357"/>
      <c r="E9" s="357"/>
      <c r="F9" s="357"/>
    </row>
    <row r="10" spans="1:6" x14ac:dyDescent="0.2">
      <c r="A10" s="53">
        <f>Kassavood!I2</f>
        <v>44417</v>
      </c>
      <c r="B10" s="357"/>
      <c r="C10" s="357"/>
      <c r="D10" s="387"/>
      <c r="E10" s="357"/>
      <c r="F10" s="357"/>
    </row>
    <row r="11" spans="1:6" x14ac:dyDescent="0.2">
      <c r="A11" s="53">
        <f>Kassavood!J2</f>
        <v>44448</v>
      </c>
      <c r="B11" s="357"/>
      <c r="C11" s="357"/>
      <c r="D11" s="357"/>
      <c r="E11" s="387"/>
      <c r="F11" s="357"/>
    </row>
    <row r="12" spans="1:6" x14ac:dyDescent="0.2">
      <c r="A12" s="53">
        <f>Kassavood!K2</f>
        <v>44478</v>
      </c>
      <c r="B12" s="357"/>
      <c r="C12" s="357"/>
      <c r="D12" s="357"/>
      <c r="E12" s="357"/>
      <c r="F12" s="357"/>
    </row>
    <row r="13" spans="1:6" x14ac:dyDescent="0.2">
      <c r="A13" s="53">
        <f>Kassavood!L2</f>
        <v>44509</v>
      </c>
      <c r="B13" s="357"/>
      <c r="C13" s="357"/>
      <c r="D13" s="357"/>
      <c r="E13" s="357"/>
      <c r="F13" s="357"/>
    </row>
    <row r="14" spans="1:6" x14ac:dyDescent="0.2">
      <c r="A14" s="53">
        <f>Kassavood!M2</f>
        <v>44539</v>
      </c>
      <c r="B14" s="357"/>
      <c r="C14" s="357"/>
      <c r="D14" s="357"/>
      <c r="E14" s="357"/>
      <c r="F14" s="357"/>
    </row>
    <row r="15" spans="1:6" x14ac:dyDescent="0.2">
      <c r="B15" s="12" t="e">
        <f>AVERAGE(B3:B14)</f>
        <v>#DIV/0!</v>
      </c>
      <c r="C15" s="386" t="e">
        <f>AVERAGE(C3:C14)</f>
        <v>#DIV/0!</v>
      </c>
      <c r="D15" s="386" t="e">
        <f>AVERAGE(D3:D14)</f>
        <v>#DIV/0!</v>
      </c>
      <c r="E15" s="386" t="e">
        <f>AVERAGE(E3:E14)</f>
        <v>#DIV/0!</v>
      </c>
      <c r="F15" s="386" t="e">
        <f>AVERAGE(F3:F14)</f>
        <v>#DIV/0!</v>
      </c>
    </row>
  </sheetData>
  <sheetProtection algorithmName="SHA-512" hashValue="bVQ2VCZmPlLp67x++zoUkUwF4fj2RxpyWXnKJLeIQRQ7MfVZiknmub6FvRVHDJ5WD2ECf6MYtXcJyNx2YPZewA==" saltValue="DkTdnxyXwQncwl+/w+T1ZQ==" spinCount="100000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eht5">
    <pageSetUpPr fitToPage="1"/>
  </sheetPr>
  <dimension ref="A1:P52"/>
  <sheetViews>
    <sheetView zoomScaleNormal="100" workbookViewId="0">
      <selection activeCell="K15" sqref="K15"/>
    </sheetView>
  </sheetViews>
  <sheetFormatPr defaultRowHeight="12.75" x14ac:dyDescent="0.2"/>
  <cols>
    <col min="1" max="1" width="42.28515625" style="158" customWidth="1"/>
    <col min="2" max="2" width="11.28515625" style="163" customWidth="1"/>
    <col min="3" max="6" width="10.85546875" style="158" customWidth="1"/>
    <col min="7" max="16384" width="9.140625" style="158"/>
  </cols>
  <sheetData>
    <row r="1" spans="1:16" ht="25.5" x14ac:dyDescent="0.2">
      <c r="A1" s="156" t="s">
        <v>70</v>
      </c>
      <c r="B1" s="214" t="s">
        <v>163</v>
      </c>
      <c r="C1" s="157" t="s">
        <v>54</v>
      </c>
      <c r="D1" s="157" t="s">
        <v>97</v>
      </c>
      <c r="E1" s="157" t="s">
        <v>98</v>
      </c>
      <c r="F1" s="157" t="s">
        <v>119</v>
      </c>
    </row>
    <row r="2" spans="1:16" x14ac:dyDescent="0.2">
      <c r="A2" s="156"/>
      <c r="B2" s="215" t="s">
        <v>287</v>
      </c>
      <c r="C2" s="392">
        <f>Kassavood!N2</f>
        <v>2021</v>
      </c>
      <c r="D2" s="392">
        <f>Kassavood!O2</f>
        <v>2022</v>
      </c>
      <c r="E2" s="392">
        <f>Kassavood!P2</f>
        <v>2023</v>
      </c>
      <c r="F2" s="392">
        <f>Kassavood!Q2</f>
        <v>2024</v>
      </c>
    </row>
    <row r="3" spans="1:16" x14ac:dyDescent="0.2">
      <c r="A3" s="159"/>
      <c r="B3" s="160"/>
      <c r="C3" s="161"/>
      <c r="D3" s="161"/>
      <c r="E3" s="161"/>
      <c r="F3" s="161"/>
    </row>
    <row r="4" spans="1:16" x14ac:dyDescent="0.2">
      <c r="A4" s="156" t="s">
        <v>71</v>
      </c>
      <c r="B4" s="162"/>
      <c r="C4" s="161"/>
      <c r="D4" s="161"/>
      <c r="E4" s="161"/>
      <c r="F4" s="161"/>
    </row>
    <row r="5" spans="1:16" x14ac:dyDescent="0.2">
      <c r="A5" s="156"/>
      <c r="B5" s="162"/>
      <c r="C5" s="161"/>
      <c r="D5" s="161"/>
      <c r="E5" s="161"/>
      <c r="F5" s="161"/>
    </row>
    <row r="6" spans="1:16" x14ac:dyDescent="0.2">
      <c r="A6" s="171" t="s">
        <v>72</v>
      </c>
      <c r="B6" s="200"/>
      <c r="C6" s="201">
        <f>Kassavood!N97</f>
        <v>0</v>
      </c>
      <c r="D6" s="201">
        <f>Kassavood!O97</f>
        <v>0</v>
      </c>
      <c r="E6" s="201">
        <f>Kassavood!P97</f>
        <v>0</v>
      </c>
      <c r="F6" s="201">
        <f>Kassavood!Q97</f>
        <v>0</v>
      </c>
      <c r="P6" s="356"/>
    </row>
    <row r="7" spans="1:16" x14ac:dyDescent="0.2">
      <c r="A7" s="171" t="s">
        <v>73</v>
      </c>
      <c r="B7" s="200"/>
      <c r="C7" s="201">
        <f>Kasumiaruanne!C5-Kassavood!N14</f>
        <v>0</v>
      </c>
      <c r="D7" s="201">
        <f>C7+Kasumiaruanne!D5-Kassavood!O14</f>
        <v>0</v>
      </c>
      <c r="E7" s="201">
        <f>D7+Kasumiaruanne!E5-Kassavood!P14</f>
        <v>0</v>
      </c>
      <c r="F7" s="201">
        <f>E7+Kasumiaruanne!F5-Kassavood!Q14</f>
        <v>0</v>
      </c>
    </row>
    <row r="8" spans="1:16" x14ac:dyDescent="0.2">
      <c r="A8" s="171" t="s">
        <v>74</v>
      </c>
      <c r="B8" s="200"/>
      <c r="C8" s="202"/>
      <c r="D8" s="202"/>
      <c r="E8" s="202"/>
      <c r="F8" s="202"/>
    </row>
    <row r="9" spans="1:16" x14ac:dyDescent="0.2">
      <c r="A9" s="171" t="s">
        <v>75</v>
      </c>
      <c r="B9" s="200"/>
      <c r="C9" s="202"/>
      <c r="D9" s="202"/>
      <c r="E9" s="202"/>
      <c r="F9" s="202"/>
    </row>
    <row r="10" spans="1:16" x14ac:dyDescent="0.2">
      <c r="A10" s="171" t="s">
        <v>112</v>
      </c>
      <c r="B10" s="200"/>
      <c r="C10" s="201">
        <f>Kassavood!N48-Kasumiaruanne!C19</f>
        <v>0</v>
      </c>
      <c r="D10" s="201">
        <f>C10+Kassavood!O48-Tooted!S5</f>
        <v>0</v>
      </c>
      <c r="E10" s="201">
        <f>D10+Kassavood!P48-Tooted!T5</f>
        <v>0</v>
      </c>
      <c r="F10" s="201">
        <f>E10+Kassavood!Q48-Tooted!U5</f>
        <v>0</v>
      </c>
    </row>
    <row r="11" spans="1:16" x14ac:dyDescent="0.2">
      <c r="A11" s="171" t="s">
        <v>76</v>
      </c>
      <c r="B11" s="200"/>
      <c r="C11" s="202"/>
      <c r="D11" s="202"/>
      <c r="E11" s="202"/>
      <c r="F11" s="202"/>
    </row>
    <row r="12" spans="1:16" x14ac:dyDescent="0.2">
      <c r="A12" s="172" t="s">
        <v>77</v>
      </c>
      <c r="B12" s="203">
        <f>SUM(B6:B11)</f>
        <v>0</v>
      </c>
      <c r="C12" s="204">
        <f>SUM(C6:C11)</f>
        <v>0</v>
      </c>
      <c r="D12" s="204">
        <f>SUM(D6:D11)</f>
        <v>0</v>
      </c>
      <c r="E12" s="204">
        <f>SUM(E6:E11)</f>
        <v>0</v>
      </c>
      <c r="F12" s="204">
        <f>SUM(F6:F11)</f>
        <v>0</v>
      </c>
    </row>
    <row r="13" spans="1:16" x14ac:dyDescent="0.2">
      <c r="A13" s="173"/>
      <c r="B13" s="174"/>
      <c r="C13" s="175"/>
      <c r="D13" s="175"/>
      <c r="E13" s="175"/>
      <c r="F13" s="175"/>
    </row>
    <row r="14" spans="1:16" x14ac:dyDescent="0.2">
      <c r="A14" s="413" t="s">
        <v>192</v>
      </c>
      <c r="B14" s="413"/>
      <c r="C14" s="413"/>
      <c r="D14" s="413"/>
      <c r="E14" s="413"/>
      <c r="F14" s="413"/>
    </row>
    <row r="15" spans="1:16" x14ac:dyDescent="0.2">
      <c r="A15" s="171" t="s">
        <v>123</v>
      </c>
      <c r="B15" s="200"/>
      <c r="C15" s="201">
        <f>B15+Kassavood!N104</f>
        <v>0</v>
      </c>
      <c r="D15" s="201">
        <f>B15+Kassavood!O104</f>
        <v>0</v>
      </c>
      <c r="E15" s="201">
        <f>B15+Kassavood!P104</f>
        <v>0</v>
      </c>
      <c r="F15" s="201">
        <f>B15+Kassavood!Q104</f>
        <v>0</v>
      </c>
    </row>
    <row r="16" spans="1:16" x14ac:dyDescent="0.2">
      <c r="A16" s="171" t="s">
        <v>191</v>
      </c>
      <c r="B16" s="200"/>
      <c r="C16" s="201">
        <f>B16+Kassavood!N106</f>
        <v>0</v>
      </c>
      <c r="D16" s="201">
        <f>B16+Kassavood!O106</f>
        <v>0</v>
      </c>
      <c r="E16" s="201">
        <f>B16+Kassavood!P106</f>
        <v>0</v>
      </c>
      <c r="F16" s="201">
        <f>B16+Kassavood!Q106</f>
        <v>0</v>
      </c>
    </row>
    <row r="17" spans="1:6" x14ac:dyDescent="0.2">
      <c r="A17" s="171" t="s">
        <v>124</v>
      </c>
      <c r="B17" s="200"/>
      <c r="C17" s="201">
        <f>B17-Kassavood!N108-Kassavood!N109</f>
        <v>0</v>
      </c>
      <c r="D17" s="201">
        <f>C17-Kassavood!O108-Kassavood!O109</f>
        <v>0</v>
      </c>
      <c r="E17" s="201">
        <f>D17-Kassavood!P108-Kassavood!P109</f>
        <v>0</v>
      </c>
      <c r="F17" s="201">
        <f>E17-Kassavood!Q108-Kassavood!Q109</f>
        <v>0</v>
      </c>
    </row>
    <row r="18" spans="1:6" x14ac:dyDescent="0.2">
      <c r="A18" s="410" t="s">
        <v>193</v>
      </c>
      <c r="B18" s="411"/>
      <c r="C18" s="411"/>
      <c r="D18" s="411"/>
      <c r="E18" s="411"/>
      <c r="F18" s="412"/>
    </row>
    <row r="19" spans="1:6" x14ac:dyDescent="0.2">
      <c r="A19" s="171" t="s">
        <v>193</v>
      </c>
      <c r="B19" s="200"/>
      <c r="C19" s="201">
        <f>B19+Kassavood!N112</f>
        <v>0</v>
      </c>
      <c r="D19" s="201">
        <f>B19+Kassavood!O112</f>
        <v>0</v>
      </c>
      <c r="E19" s="201">
        <f>B19+Kassavood!P112</f>
        <v>0</v>
      </c>
      <c r="F19" s="201">
        <f>B19+Kassavood!Q112</f>
        <v>0</v>
      </c>
    </row>
    <row r="20" spans="1:6" x14ac:dyDescent="0.2">
      <c r="A20" s="171" t="s">
        <v>194</v>
      </c>
      <c r="B20" s="200"/>
      <c r="C20" s="201">
        <f>B20-Kassavood!N114</f>
        <v>0</v>
      </c>
      <c r="D20" s="201">
        <f>C20-Kassavood!O114</f>
        <v>0</v>
      </c>
      <c r="E20" s="201">
        <f>D20-Kassavood!P114</f>
        <v>0</v>
      </c>
      <c r="F20" s="201">
        <f>E20-Kassavood!Q114</f>
        <v>0</v>
      </c>
    </row>
    <row r="21" spans="1:6" x14ac:dyDescent="0.2">
      <c r="A21" s="414" t="s">
        <v>78</v>
      </c>
      <c r="B21" s="415"/>
      <c r="C21" s="415"/>
      <c r="D21" s="415"/>
      <c r="E21" s="415"/>
      <c r="F21" s="416"/>
    </row>
    <row r="22" spans="1:6" ht="25.5" x14ac:dyDescent="0.2">
      <c r="A22" s="176" t="s">
        <v>198</v>
      </c>
      <c r="B22" s="205"/>
      <c r="C22" s="206">
        <f>$B$22+Kassavood!N105+Kassavood!N107</f>
        <v>0</v>
      </c>
      <c r="D22" s="206">
        <f>$B$22+Kassavood!O105+Kassavood!O107</f>
        <v>0</v>
      </c>
      <c r="E22" s="206">
        <f>$B$22+Kassavood!P105+Kassavood!P107</f>
        <v>0</v>
      </c>
      <c r="F22" s="206">
        <f>$B$22+Kassavood!Q105+Kassavood!Q107</f>
        <v>0</v>
      </c>
    </row>
    <row r="23" spans="1:6" ht="25.5" x14ac:dyDescent="0.2">
      <c r="A23" s="176" t="s">
        <v>199</v>
      </c>
      <c r="B23" s="205"/>
      <c r="C23" s="206">
        <f>$B$23+Kassavood!N113</f>
        <v>0</v>
      </c>
      <c r="D23" s="206">
        <f>$B$23+Kassavood!O113</f>
        <v>0</v>
      </c>
      <c r="E23" s="206">
        <f>$B$23+Kassavood!P113</f>
        <v>0</v>
      </c>
      <c r="F23" s="206">
        <f>$B$23+Kassavood!Q113</f>
        <v>0</v>
      </c>
    </row>
    <row r="24" spans="1:6" x14ac:dyDescent="0.2">
      <c r="A24" s="171" t="s">
        <v>124</v>
      </c>
      <c r="B24" s="207"/>
      <c r="C24" s="206">
        <f>-Kassavood!N110-Kassavood!N111-Kassavood!N115+B24</f>
        <v>0</v>
      </c>
      <c r="D24" s="206">
        <f>-Kassavood!O110-Kassavood!O111-Kassavood!O115+C24</f>
        <v>0</v>
      </c>
      <c r="E24" s="206">
        <f>-Kassavood!P110-Kassavood!P111-Kassavood!P115+D24</f>
        <v>0</v>
      </c>
      <c r="F24" s="206">
        <f>-Kassavood!Q110-Kassavood!Q111-Kassavood!Q115+E24</f>
        <v>0</v>
      </c>
    </row>
    <row r="25" spans="1:6" x14ac:dyDescent="0.2">
      <c r="A25" s="172" t="s">
        <v>79</v>
      </c>
      <c r="B25" s="203">
        <f>SUM(B15:B24)</f>
        <v>0</v>
      </c>
      <c r="C25" s="204">
        <f>SUM(C15:C24)</f>
        <v>0</v>
      </c>
      <c r="D25" s="204">
        <f>SUM(D15:D24)</f>
        <v>0</v>
      </c>
      <c r="E25" s="204">
        <f>SUM(E15:E24)</f>
        <v>0</v>
      </c>
      <c r="F25" s="204">
        <f>SUM(F15:F24)</f>
        <v>0</v>
      </c>
    </row>
    <row r="26" spans="1:6" x14ac:dyDescent="0.2">
      <c r="A26" s="177"/>
      <c r="B26" s="208"/>
      <c r="C26" s="209"/>
      <c r="D26" s="209"/>
      <c r="E26" s="209"/>
      <c r="F26" s="209"/>
    </row>
    <row r="27" spans="1:6" x14ac:dyDescent="0.2">
      <c r="A27" s="173" t="s">
        <v>80</v>
      </c>
      <c r="B27" s="210">
        <f>B12+B25</f>
        <v>0</v>
      </c>
      <c r="C27" s="211">
        <f>C12+C25</f>
        <v>0</v>
      </c>
      <c r="D27" s="211">
        <f>D12+D25</f>
        <v>0</v>
      </c>
      <c r="E27" s="211">
        <f>E12+E25</f>
        <v>0</v>
      </c>
      <c r="F27" s="211">
        <f>F12+F25</f>
        <v>0</v>
      </c>
    </row>
    <row r="28" spans="1:6" x14ac:dyDescent="0.2">
      <c r="A28" s="173"/>
      <c r="B28" s="174"/>
      <c r="C28" s="178"/>
      <c r="D28" s="178"/>
      <c r="E28" s="178"/>
      <c r="F28" s="178"/>
    </row>
    <row r="29" spans="1:6" x14ac:dyDescent="0.2">
      <c r="A29" s="173"/>
      <c r="B29" s="174"/>
      <c r="C29" s="178"/>
      <c r="D29" s="178"/>
      <c r="E29" s="178"/>
      <c r="F29" s="178"/>
    </row>
    <row r="30" spans="1:6" x14ac:dyDescent="0.2">
      <c r="A30" s="179"/>
      <c r="B30" s="180"/>
      <c r="C30" s="175"/>
      <c r="D30" s="175"/>
      <c r="E30" s="175"/>
      <c r="F30" s="175"/>
    </row>
    <row r="31" spans="1:6" x14ac:dyDescent="0.2">
      <c r="A31" s="173" t="s">
        <v>81</v>
      </c>
      <c r="B31" s="174"/>
      <c r="C31" s="175"/>
      <c r="D31" s="175"/>
      <c r="E31" s="175"/>
      <c r="F31" s="175"/>
    </row>
    <row r="32" spans="1:6" x14ac:dyDescent="0.2">
      <c r="A32" s="181"/>
      <c r="B32" s="182"/>
      <c r="C32" s="175"/>
      <c r="D32" s="175"/>
      <c r="E32" s="175"/>
      <c r="F32" s="175"/>
    </row>
    <row r="33" spans="1:6" x14ac:dyDescent="0.2">
      <c r="A33" s="171" t="s">
        <v>126</v>
      </c>
      <c r="B33" s="200">
        <v>0</v>
      </c>
      <c r="C33" s="201">
        <f>IF(Kassavood!N91="Viga, kliki siin!",B33,(B33+Kassavood!N22-Kassavood!N91))</f>
        <v>0</v>
      </c>
      <c r="D33" s="201">
        <f>C33+Kassavood!O22-Kassavood!O91</f>
        <v>0</v>
      </c>
      <c r="E33" s="201">
        <f>D33+Kassavood!P22-Kassavood!P91</f>
        <v>0</v>
      </c>
      <c r="F33" s="201">
        <f>E33+Kassavood!Q22-Kassavood!Q91</f>
        <v>0</v>
      </c>
    </row>
    <row r="34" spans="1:6" x14ac:dyDescent="0.2">
      <c r="A34" s="171" t="s">
        <v>125</v>
      </c>
      <c r="B34" s="200"/>
      <c r="C34" s="201">
        <f>IF(Kassavood!O90&gt;0,Kassavood!O90,0)</f>
        <v>0</v>
      </c>
      <c r="D34" s="201">
        <f>IF(Kassavood!P90&gt;0,Kassavood!P90,0)</f>
        <v>0</v>
      </c>
      <c r="E34" s="201">
        <f>IF(Kassavood!Q90&gt;0,Kassavood!Q90,0)</f>
        <v>0</v>
      </c>
      <c r="F34" s="201">
        <f>IF(Kassavood!R90&gt;0,Kassavood!R90,0)</f>
        <v>0</v>
      </c>
    </row>
    <row r="35" spans="1:6" x14ac:dyDescent="0.2">
      <c r="A35" s="171" t="s">
        <v>82</v>
      </c>
      <c r="B35" s="200"/>
      <c r="C35" s="202"/>
      <c r="D35" s="202"/>
      <c r="E35" s="202"/>
      <c r="F35" s="202"/>
    </row>
    <row r="36" spans="1:6" x14ac:dyDescent="0.2">
      <c r="A36" s="171" t="s">
        <v>83</v>
      </c>
      <c r="B36" s="200"/>
      <c r="C36" s="202"/>
      <c r="D36" s="202"/>
      <c r="E36" s="202"/>
      <c r="F36" s="202"/>
    </row>
    <row r="37" spans="1:6" x14ac:dyDescent="0.2">
      <c r="A37" s="171" t="s">
        <v>84</v>
      </c>
      <c r="B37" s="200"/>
      <c r="C37" s="202"/>
      <c r="D37" s="202"/>
      <c r="E37" s="202"/>
      <c r="F37" s="202"/>
    </row>
    <row r="38" spans="1:6" x14ac:dyDescent="0.2">
      <c r="A38" s="171" t="s">
        <v>85</v>
      </c>
      <c r="B38" s="200"/>
      <c r="C38" s="201">
        <f>Kassavood!N19-Kassavood!N88-Kassavood!N83-Kassavood!N84+Kasumiaruanne!C52+Kasumiaruanne!C53-Kassavood!N93</f>
        <v>0</v>
      </c>
      <c r="D38" s="201">
        <f>C38+Kassavood!O19-Kassavood!O88-Kassavood!O83-Kassavood!O84+Kasumiaruanne!D52+Kasumiaruanne!D53-Kassavood!O93</f>
        <v>0</v>
      </c>
      <c r="E38" s="201">
        <f>D38+Kassavood!P19-Kassavood!P88-Kassavood!P83-Kassavood!P84+Kasumiaruanne!E52+Kasumiaruanne!E53-Kassavood!P93</f>
        <v>0</v>
      </c>
      <c r="F38" s="201">
        <f>E38+Kassavood!Q19-Kassavood!Q88-Kassavood!Q83-Kassavood!Q84+Kasumiaruanne!F52+Kasumiaruanne!F53-Kassavood!Q93</f>
        <v>0</v>
      </c>
    </row>
    <row r="39" spans="1:6" x14ac:dyDescent="0.2">
      <c r="A39" s="183" t="s">
        <v>86</v>
      </c>
      <c r="B39" s="203">
        <f>SUM(B33:B38)</f>
        <v>0</v>
      </c>
      <c r="C39" s="204">
        <f>SUM(C33:C38)</f>
        <v>0</v>
      </c>
      <c r="D39" s="204">
        <f>SUM(D33:D38)</f>
        <v>0</v>
      </c>
      <c r="E39" s="204">
        <f>SUM(E33:E38)</f>
        <v>0</v>
      </c>
      <c r="F39" s="204">
        <f>SUM(F33:F38)</f>
        <v>0</v>
      </c>
    </row>
    <row r="40" spans="1:6" x14ac:dyDescent="0.2">
      <c r="A40" s="181"/>
      <c r="B40" s="212"/>
      <c r="C40" s="209"/>
      <c r="D40" s="209"/>
      <c r="E40" s="209"/>
      <c r="F40" s="209"/>
    </row>
    <row r="41" spans="1:6" x14ac:dyDescent="0.2">
      <c r="A41" s="171" t="s">
        <v>87</v>
      </c>
      <c r="B41" s="200"/>
      <c r="C41" s="201">
        <f>B41+Kassavood!N21-C34</f>
        <v>0</v>
      </c>
      <c r="D41" s="201">
        <f>C41+Kassavood!O21-D34</f>
        <v>0</v>
      </c>
      <c r="E41" s="201">
        <f>D41+Kassavood!P21-E34</f>
        <v>0</v>
      </c>
      <c r="F41" s="201">
        <f>E41+Kassavood!Q21-F34</f>
        <v>0</v>
      </c>
    </row>
    <row r="42" spans="1:6" x14ac:dyDescent="0.2">
      <c r="A42" s="171" t="s">
        <v>88</v>
      </c>
      <c r="B42" s="200"/>
      <c r="C42" s="202"/>
      <c r="D42" s="202"/>
      <c r="E42" s="202"/>
      <c r="F42" s="202"/>
    </row>
    <row r="43" spans="1:6" x14ac:dyDescent="0.2">
      <c r="A43" s="184" t="s">
        <v>89</v>
      </c>
      <c r="B43" s="207"/>
      <c r="C43" s="206">
        <f>C22+C23+C24</f>
        <v>0</v>
      </c>
      <c r="D43" s="206">
        <f>D22+D23+D24</f>
        <v>0</v>
      </c>
      <c r="E43" s="206">
        <f>E22+E23+E24</f>
        <v>0</v>
      </c>
      <c r="F43" s="206">
        <f>F22+F23+F24</f>
        <v>0</v>
      </c>
    </row>
    <row r="44" spans="1:6" x14ac:dyDescent="0.2">
      <c r="A44" s="172" t="s">
        <v>90</v>
      </c>
      <c r="B44" s="203">
        <f>SUM(B41:B43)</f>
        <v>0</v>
      </c>
      <c r="C44" s="204">
        <f>SUM(C41:C43)</f>
        <v>0</v>
      </c>
      <c r="D44" s="204">
        <f>SUM(D41:D43)</f>
        <v>0</v>
      </c>
      <c r="E44" s="204">
        <f>SUM(E41:E43)</f>
        <v>0</v>
      </c>
      <c r="F44" s="204">
        <f>SUM(F41:F43)</f>
        <v>0</v>
      </c>
    </row>
    <row r="45" spans="1:6" x14ac:dyDescent="0.2">
      <c r="A45" s="179"/>
      <c r="B45" s="213"/>
      <c r="C45" s="209"/>
      <c r="D45" s="209"/>
      <c r="E45" s="209"/>
      <c r="F45" s="209"/>
    </row>
    <row r="46" spans="1:6" x14ac:dyDescent="0.2">
      <c r="A46" s="171" t="s">
        <v>91</v>
      </c>
      <c r="B46" s="200"/>
      <c r="C46" s="201">
        <f>B46+Kassavood!N20</f>
        <v>0</v>
      </c>
      <c r="D46" s="201">
        <f>C46+Kassavood!O20</f>
        <v>0</v>
      </c>
      <c r="E46" s="201">
        <f>D46+Kassavood!P20</f>
        <v>0</v>
      </c>
      <c r="F46" s="201">
        <f>E46+Kassavood!Q20</f>
        <v>0</v>
      </c>
    </row>
    <row r="47" spans="1:6" x14ac:dyDescent="0.2">
      <c r="A47" s="171" t="s">
        <v>92</v>
      </c>
      <c r="B47" s="218"/>
      <c r="C47" s="201">
        <f>IF(B49&gt;B46*0.1,B46*0.1,IF(B49&lt;0,0,B49*0.1))</f>
        <v>0</v>
      </c>
      <c r="D47" s="201">
        <f>IF(C49&gt;C46*0.1,C46*0.1,IF(C49&lt;0,0,C49*0.1))</f>
        <v>0</v>
      </c>
      <c r="E47" s="201">
        <f>IF(D49&gt;D46*0.1,D46*0.1,IF(D49&lt;0,0,D49*0.1))</f>
        <v>0</v>
      </c>
      <c r="F47" s="201">
        <f>IF(E49&gt;E46*0.1,E46*0.1,IF(E49&lt;0,0,E49*0.1))</f>
        <v>0</v>
      </c>
    </row>
    <row r="48" spans="1:6" x14ac:dyDescent="0.2">
      <c r="A48" s="171" t="s">
        <v>93</v>
      </c>
      <c r="B48" s="200"/>
      <c r="C48" s="201">
        <f>(B49+B48-Kassavood!N94)-C47</f>
        <v>0</v>
      </c>
      <c r="D48" s="201">
        <f>(C48+C49-Kassavood!O94)-(D47-C47)</f>
        <v>0</v>
      </c>
      <c r="E48" s="201">
        <f>(D48+D49-E47+D47-Kassavood!P94)</f>
        <v>0</v>
      </c>
      <c r="F48" s="201">
        <f>(E48+E49-F47+E47-Kassavood!Q94)</f>
        <v>0</v>
      </c>
    </row>
    <row r="49" spans="1:6" x14ac:dyDescent="0.2">
      <c r="A49" s="171" t="s">
        <v>94</v>
      </c>
      <c r="B49" s="200"/>
      <c r="C49" s="201">
        <f>Kasumiaruanne!C69</f>
        <v>0</v>
      </c>
      <c r="D49" s="201">
        <f>Kasumiaruanne!D69</f>
        <v>0</v>
      </c>
      <c r="E49" s="201">
        <f>Kasumiaruanne!E69</f>
        <v>0</v>
      </c>
      <c r="F49" s="201">
        <f>Kasumiaruanne!F69</f>
        <v>0</v>
      </c>
    </row>
    <row r="50" spans="1:6" x14ac:dyDescent="0.2">
      <c r="A50" s="183" t="s">
        <v>95</v>
      </c>
      <c r="B50" s="201">
        <f>SUM(B46:B49)</f>
        <v>0</v>
      </c>
      <c r="C50" s="201">
        <f>SUM(C46:C49)</f>
        <v>0</v>
      </c>
      <c r="D50" s="201">
        <f>SUM(D46:D49)</f>
        <v>0</v>
      </c>
      <c r="E50" s="201">
        <f>SUM(E46:E49)</f>
        <v>0</v>
      </c>
      <c r="F50" s="201">
        <f>SUM(F46:F49)</f>
        <v>0</v>
      </c>
    </row>
    <row r="51" spans="1:6" x14ac:dyDescent="0.2">
      <c r="A51" s="185"/>
      <c r="B51" s="186"/>
      <c r="C51" s="175"/>
      <c r="D51" s="175"/>
      <c r="E51" s="175"/>
      <c r="F51" s="175"/>
    </row>
    <row r="52" spans="1:6" x14ac:dyDescent="0.2">
      <c r="A52" s="173" t="s">
        <v>96</v>
      </c>
      <c r="B52" s="210">
        <f>B39+B44+B50</f>
        <v>0</v>
      </c>
      <c r="C52" s="211">
        <f>C39+C44+C50</f>
        <v>0</v>
      </c>
      <c r="D52" s="211">
        <f>D39+D44+D50</f>
        <v>0</v>
      </c>
      <c r="E52" s="211">
        <f>E39+E44+E50</f>
        <v>0</v>
      </c>
      <c r="F52" s="211">
        <f>F39+F44+F50</f>
        <v>0</v>
      </c>
    </row>
  </sheetData>
  <sheetProtection algorithmName="SHA-512" hashValue="Awlob+7N/dLBuCD08IioywHGK+VnfV2lYDaOtldGmhZJ1qQKNsxC8mn3Omzdp2b0JXywjphgZoT9e7YXjiSGJA==" saltValue="CexdNLBBSKIc2EjBHpB2zw==" spinCount="100000" sheet="1" objects="1" scenarios="1"/>
  <mergeCells count="3">
    <mergeCell ref="A18:F18"/>
    <mergeCell ref="A14:F14"/>
    <mergeCell ref="A21:F21"/>
  </mergeCells>
  <phoneticPr fontId="2" type="noConversion"/>
  <pageMargins left="0.59055118110236227" right="0.74803149606299213" top="0.98425196850393704" bottom="0.98425196850393704" header="0" footer="0"/>
  <pageSetup paperSize="9" scale="9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workbookViewId="0">
      <selection activeCell="D27" sqref="D27"/>
    </sheetView>
  </sheetViews>
  <sheetFormatPr defaultRowHeight="12.75" x14ac:dyDescent="0.2"/>
  <cols>
    <col min="1" max="1" width="30.42578125" customWidth="1"/>
    <col min="2" max="2" width="23.140625" customWidth="1"/>
    <col min="3" max="3" width="22.140625" bestFit="1" customWidth="1"/>
    <col min="4" max="4" width="21.42578125" customWidth="1"/>
    <col min="5" max="5" width="18.5703125" customWidth="1"/>
    <col min="6" max="6" width="17.7109375" customWidth="1"/>
  </cols>
  <sheetData>
    <row r="1" spans="1:6" ht="36.75" customHeight="1" x14ac:dyDescent="0.2">
      <c r="A1" s="417" t="s">
        <v>262</v>
      </c>
      <c r="B1" s="418"/>
      <c r="C1" s="418"/>
      <c r="D1" s="418"/>
      <c r="E1" s="418"/>
      <c r="F1" s="418"/>
    </row>
    <row r="2" spans="1:6" ht="38.25" x14ac:dyDescent="0.2">
      <c r="A2" s="347" t="s">
        <v>263</v>
      </c>
      <c r="B2" s="348" t="s">
        <v>268</v>
      </c>
      <c r="C2" s="348" t="s">
        <v>289</v>
      </c>
      <c r="D2" s="348" t="s">
        <v>290</v>
      </c>
      <c r="E2" s="348" t="s">
        <v>291</v>
      </c>
      <c r="F2" s="348" t="s">
        <v>292</v>
      </c>
    </row>
    <row r="3" spans="1:6" x14ac:dyDescent="0.2">
      <c r="A3" s="347" t="s">
        <v>4</v>
      </c>
      <c r="B3" s="349">
        <f>Kasumiaruanne!B5</f>
        <v>0</v>
      </c>
      <c r="C3" s="349">
        <f>Kasumiaruanne!$C$5</f>
        <v>0</v>
      </c>
      <c r="D3" s="349">
        <f>Kasumiaruanne!$D$5</f>
        <v>0</v>
      </c>
      <c r="E3" s="349">
        <f>Kasumiaruanne!$E$5</f>
        <v>0</v>
      </c>
      <c r="F3" s="349">
        <f>Kasumiaruanne!$F$5</f>
        <v>0</v>
      </c>
    </row>
    <row r="4" spans="1:6" x14ac:dyDescent="0.2">
      <c r="A4" s="347" t="s">
        <v>269</v>
      </c>
      <c r="B4" s="349">
        <f>Kasumiaruanne!B6</f>
        <v>0</v>
      </c>
      <c r="C4" s="349">
        <f>Kasumiaruanne!$C$6</f>
        <v>0</v>
      </c>
      <c r="D4" s="349">
        <f>Kasumiaruanne!$D$6</f>
        <v>0</v>
      </c>
      <c r="E4" s="349">
        <f>Kasumiaruanne!$E$6</f>
        <v>0</v>
      </c>
      <c r="F4" s="349">
        <f>Kasumiaruanne!$F$6</f>
        <v>0</v>
      </c>
    </row>
    <row r="5" spans="1:6" x14ac:dyDescent="0.2">
      <c r="A5" s="347" t="s">
        <v>264</v>
      </c>
      <c r="B5" s="351" t="e">
        <f>B4/B3</f>
        <v>#DIV/0!</v>
      </c>
      <c r="C5" s="351" t="e">
        <f t="shared" ref="C5:F5" si="0">C4/C3</f>
        <v>#DIV/0!</v>
      </c>
      <c r="D5" s="351" t="e">
        <f t="shared" si="0"/>
        <v>#DIV/0!</v>
      </c>
      <c r="E5" s="351" t="e">
        <f t="shared" si="0"/>
        <v>#DIV/0!</v>
      </c>
      <c r="F5" s="351" t="e">
        <f t="shared" si="0"/>
        <v>#DIV/0!</v>
      </c>
    </row>
    <row r="6" spans="1:6" x14ac:dyDescent="0.2">
      <c r="A6" s="347" t="s">
        <v>270</v>
      </c>
      <c r="B6" s="349">
        <f>Kasumiaruanne!B21</f>
        <v>0</v>
      </c>
      <c r="C6" s="349">
        <f>Kasumiaruanne!C21</f>
        <v>0</v>
      </c>
      <c r="D6" s="349">
        <f>Kasumiaruanne!D21</f>
        <v>0</v>
      </c>
      <c r="E6" s="349">
        <f>Kasumiaruanne!E21</f>
        <v>0</v>
      </c>
      <c r="F6" s="349">
        <f>Kasumiaruanne!F21</f>
        <v>0</v>
      </c>
    </row>
    <row r="7" spans="1:6" x14ac:dyDescent="0.2">
      <c r="A7" s="347" t="s">
        <v>271</v>
      </c>
      <c r="B7" s="349">
        <f>Kasumiaruanne!B62</f>
        <v>0</v>
      </c>
      <c r="C7" s="349">
        <f>Kasumiaruanne!C62</f>
        <v>0</v>
      </c>
      <c r="D7" s="349">
        <f>Kasumiaruanne!D62</f>
        <v>0</v>
      </c>
      <c r="E7" s="349">
        <f>Kasumiaruanne!E62</f>
        <v>0</v>
      </c>
      <c r="F7" s="349">
        <f>Kasumiaruanne!F62</f>
        <v>0</v>
      </c>
    </row>
    <row r="8" spans="1:6" x14ac:dyDescent="0.2">
      <c r="A8" s="347" t="s">
        <v>272</v>
      </c>
      <c r="B8" s="352">
        <f>Kasumiaruanne!B68</f>
        <v>0</v>
      </c>
      <c r="C8" s="352">
        <f>Kasumiaruanne!C68</f>
        <v>0</v>
      </c>
      <c r="D8" s="352">
        <f>Kasumiaruanne!D68</f>
        <v>0</v>
      </c>
      <c r="E8" s="352">
        <f>Kasumiaruanne!E68</f>
        <v>0</v>
      </c>
      <c r="F8" s="352">
        <f>Kasumiaruanne!F68</f>
        <v>0</v>
      </c>
    </row>
    <row r="9" spans="1:6" x14ac:dyDescent="0.2">
      <c r="A9" s="347" t="s">
        <v>273</v>
      </c>
      <c r="B9" s="349">
        <f>Kasumiaruanne!B69</f>
        <v>0</v>
      </c>
      <c r="C9" s="349">
        <f>Kasumiaruanne!C69</f>
        <v>0</v>
      </c>
      <c r="D9" s="349">
        <f>Kasumiaruanne!D69</f>
        <v>0</v>
      </c>
      <c r="E9" s="349">
        <f>Kasumiaruanne!E69</f>
        <v>0</v>
      </c>
      <c r="F9" s="349">
        <f>Kasumiaruanne!F69</f>
        <v>0</v>
      </c>
    </row>
    <row r="10" spans="1:6" x14ac:dyDescent="0.2">
      <c r="A10" s="347" t="s">
        <v>274</v>
      </c>
      <c r="B10" s="349">
        <f>Bilanss!$B$27</f>
        <v>0</v>
      </c>
      <c r="C10" s="353" t="s">
        <v>280</v>
      </c>
      <c r="D10" s="353" t="s">
        <v>280</v>
      </c>
      <c r="E10" s="353" t="s">
        <v>280</v>
      </c>
      <c r="F10" s="353" t="s">
        <v>280</v>
      </c>
    </row>
    <row r="11" spans="1:6" x14ac:dyDescent="0.2">
      <c r="A11" s="347" t="s">
        <v>275</v>
      </c>
      <c r="B11" s="358" t="s">
        <v>279</v>
      </c>
      <c r="C11" s="358" t="s">
        <v>279</v>
      </c>
      <c r="D11" s="358" t="s">
        <v>279</v>
      </c>
      <c r="E11" s="358" t="s">
        <v>279</v>
      </c>
      <c r="F11" s="358" t="s">
        <v>279</v>
      </c>
    </row>
    <row r="12" spans="1:6" x14ac:dyDescent="0.2">
      <c r="A12" s="347" t="s">
        <v>276</v>
      </c>
      <c r="B12" s="349">
        <f>Kasumiaruanne!B54</f>
        <v>0</v>
      </c>
      <c r="C12" s="349">
        <f>Kasumiaruanne!C54</f>
        <v>0</v>
      </c>
      <c r="D12" s="349">
        <f>Kasumiaruanne!D54</f>
        <v>0</v>
      </c>
      <c r="E12" s="349">
        <f>Kasumiaruanne!E54</f>
        <v>0</v>
      </c>
      <c r="F12" s="349">
        <f>Kasumiaruanne!F54</f>
        <v>0</v>
      </c>
    </row>
    <row r="13" spans="1:6" x14ac:dyDescent="0.2">
      <c r="A13" s="347" t="s">
        <v>265</v>
      </c>
      <c r="B13" s="349" t="e">
        <f>Kasumiaruanne!B70</f>
        <v>#DIV/0!</v>
      </c>
      <c r="C13" s="349" t="e">
        <f>Kasumiaruanne!C70</f>
        <v>#DIV/0!</v>
      </c>
      <c r="D13" s="349" t="e">
        <f>Kasumiaruanne!D70</f>
        <v>#DIV/0!</v>
      </c>
      <c r="E13" s="349" t="e">
        <f>Kasumiaruanne!E70</f>
        <v>#DIV/0!</v>
      </c>
      <c r="F13" s="349" t="e">
        <f>Kasumiaruanne!F70</f>
        <v>#DIV/0!</v>
      </c>
    </row>
    <row r="14" spans="1:6" x14ac:dyDescent="0.2">
      <c r="A14" s="347" t="s">
        <v>266</v>
      </c>
      <c r="B14" s="350" t="e">
        <f>B12/B13</f>
        <v>#DIV/0!</v>
      </c>
      <c r="C14" s="350" t="e">
        <f t="shared" ref="C14:F14" si="1">C12/C13</f>
        <v>#DIV/0!</v>
      </c>
      <c r="D14" s="350" t="e">
        <f t="shared" si="1"/>
        <v>#DIV/0!</v>
      </c>
      <c r="E14" s="350" t="e">
        <f t="shared" si="1"/>
        <v>#DIV/0!</v>
      </c>
      <c r="F14" s="350" t="e">
        <f t="shared" si="1"/>
        <v>#DIV/0!</v>
      </c>
    </row>
    <row r="15" spans="1:6" x14ac:dyDescent="0.2">
      <c r="A15" s="347" t="s">
        <v>267</v>
      </c>
      <c r="B15" s="349" t="e">
        <f>(B12+B7+B8)/B13</f>
        <v>#DIV/0!</v>
      </c>
      <c r="C15" s="349" t="e">
        <f t="shared" ref="C15:F15" si="2">(C12+C7+C8)/C13</f>
        <v>#DIV/0!</v>
      </c>
      <c r="D15" s="349" t="e">
        <f t="shared" si="2"/>
        <v>#DIV/0!</v>
      </c>
      <c r="E15" s="349" t="e">
        <f t="shared" si="2"/>
        <v>#DIV/0!</v>
      </c>
      <c r="F15" s="349" t="e">
        <f t="shared" si="2"/>
        <v>#DIV/0!</v>
      </c>
    </row>
  </sheetData>
  <sheetProtection algorithmName="SHA-512" hashValue="7I97CaLnmf826NRTKNH+Mfsk5I9qeFTwiYPleYcICwlDw9uHtXBZx6/zLvrou5UExEup+BG9/ixs3aM964y76A==" saltValue="ZxcVkwWm+E5DebM4EiM5TQ==" spinCount="100000" sheet="1" objects="1" scenarios="1"/>
  <mergeCells count="1">
    <mergeCell ref="A1:F1"/>
  </mergeCells>
  <pageMargins left="0.7" right="0.7" top="0.75" bottom="0.75" header="0.3" footer="0.3"/>
  <pageSetup paperSize="9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eht7"/>
  <dimension ref="A1:L29"/>
  <sheetViews>
    <sheetView workbookViewId="0">
      <selection activeCell="J12" sqref="J12"/>
    </sheetView>
  </sheetViews>
  <sheetFormatPr defaultRowHeight="12.75" x14ac:dyDescent="0.2"/>
  <cols>
    <col min="2" max="2" width="37.42578125" customWidth="1"/>
    <col min="3" max="3" width="14.140625" hidden="1" customWidth="1"/>
    <col min="4" max="4" width="14.7109375" hidden="1" customWidth="1"/>
    <col min="6" max="6" width="13" customWidth="1"/>
    <col min="7" max="7" width="15" customWidth="1"/>
    <col min="8" max="8" width="10.28515625" customWidth="1"/>
    <col min="9" max="9" width="8.85546875" hidden="1" customWidth="1"/>
    <col min="10" max="10" width="19.28515625" customWidth="1"/>
    <col min="11" max="11" width="7.85546875" customWidth="1"/>
  </cols>
  <sheetData>
    <row r="1" spans="1:7" ht="15.75" x14ac:dyDescent="0.25">
      <c r="A1" s="260" t="s">
        <v>253</v>
      </c>
      <c r="B1" s="261"/>
      <c r="C1" s="261"/>
      <c r="D1" s="261"/>
      <c r="E1" s="261"/>
      <c r="F1" s="262"/>
      <c r="G1" s="334" t="s">
        <v>247</v>
      </c>
    </row>
    <row r="2" spans="1:7" ht="16.5" thickBot="1" x14ac:dyDescent="0.3">
      <c r="A2" s="263" t="s">
        <v>236</v>
      </c>
      <c r="B2" s="264"/>
      <c r="C2" s="264"/>
      <c r="D2" s="264"/>
      <c r="E2" s="419"/>
      <c r="F2" s="420"/>
      <c r="G2" s="265"/>
    </row>
    <row r="3" spans="1:7" ht="69" customHeight="1" thickBot="1" x14ac:dyDescent="0.25">
      <c r="A3" s="266" t="s">
        <v>209</v>
      </c>
      <c r="B3" s="267" t="s">
        <v>210</v>
      </c>
      <c r="C3" s="267" t="s">
        <v>211</v>
      </c>
      <c r="D3" s="267" t="s">
        <v>212</v>
      </c>
      <c r="E3" s="306" t="s">
        <v>213</v>
      </c>
      <c r="F3" s="304" t="s">
        <v>214</v>
      </c>
      <c r="G3" s="268" t="s">
        <v>215</v>
      </c>
    </row>
    <row r="4" spans="1:7" ht="13.9" customHeight="1" x14ac:dyDescent="0.2">
      <c r="A4" s="269">
        <v>1</v>
      </c>
      <c r="B4" s="270">
        <v>2</v>
      </c>
      <c r="C4" s="271">
        <v>3</v>
      </c>
      <c r="D4" s="271">
        <v>4</v>
      </c>
      <c r="E4" s="305">
        <v>3</v>
      </c>
      <c r="F4" s="272">
        <v>4</v>
      </c>
      <c r="G4" s="273">
        <v>5</v>
      </c>
    </row>
    <row r="5" spans="1:7" ht="36" customHeight="1" x14ac:dyDescent="0.25">
      <c r="A5" s="274" t="s">
        <v>216</v>
      </c>
      <c r="B5" s="275" t="s">
        <v>217</v>
      </c>
      <c r="C5" s="275"/>
      <c r="D5" s="275"/>
      <c r="E5" s="276"/>
      <c r="F5" s="277">
        <f>SUM(F6:F9)</f>
        <v>0</v>
      </c>
      <c r="G5" s="278">
        <f>E5*F5</f>
        <v>0</v>
      </c>
    </row>
    <row r="6" spans="1:7" ht="48" customHeight="1" x14ac:dyDescent="0.25">
      <c r="A6" s="279" t="s">
        <v>218</v>
      </c>
      <c r="B6" s="280" t="s">
        <v>281</v>
      </c>
      <c r="C6" s="280"/>
      <c r="D6" s="280"/>
      <c r="E6" s="281"/>
      <c r="F6" s="282"/>
      <c r="G6" s="283">
        <f t="shared" ref="G6:G17" si="0">E6*F6</f>
        <v>0</v>
      </c>
    </row>
    <row r="7" spans="1:7" ht="46.5" customHeight="1" x14ac:dyDescent="0.25">
      <c r="A7" s="284" t="s">
        <v>219</v>
      </c>
      <c r="B7" s="280" t="s">
        <v>282</v>
      </c>
      <c r="C7" s="280"/>
      <c r="D7" s="280"/>
      <c r="E7" s="281"/>
      <c r="F7" s="285"/>
      <c r="G7" s="283">
        <f t="shared" si="0"/>
        <v>0</v>
      </c>
    </row>
    <row r="8" spans="1:7" ht="48.75" customHeight="1" x14ac:dyDescent="0.25">
      <c r="A8" s="284" t="s">
        <v>220</v>
      </c>
      <c r="B8" s="286" t="s">
        <v>283</v>
      </c>
      <c r="C8" s="286"/>
      <c r="D8" s="286"/>
      <c r="E8" s="281"/>
      <c r="F8" s="285"/>
      <c r="G8" s="283">
        <f t="shared" si="0"/>
        <v>0</v>
      </c>
    </row>
    <row r="9" spans="1:7" ht="65.25" customHeight="1" x14ac:dyDescent="0.25">
      <c r="A9" s="284" t="s">
        <v>221</v>
      </c>
      <c r="B9" s="286" t="s">
        <v>284</v>
      </c>
      <c r="C9" s="286"/>
      <c r="D9" s="286"/>
      <c r="E9" s="281"/>
      <c r="F9" s="285"/>
      <c r="G9" s="283">
        <f t="shared" si="0"/>
        <v>0</v>
      </c>
    </row>
    <row r="10" spans="1:7" ht="46.15" customHeight="1" x14ac:dyDescent="0.25">
      <c r="A10" s="291">
        <v>2</v>
      </c>
      <c r="B10" s="290" t="s">
        <v>226</v>
      </c>
      <c r="C10" s="290"/>
      <c r="D10" s="290"/>
      <c r="E10" s="287"/>
      <c r="F10" s="288">
        <f>SUM(F11:F12)</f>
        <v>0</v>
      </c>
      <c r="G10" s="278">
        <f t="shared" si="0"/>
        <v>0</v>
      </c>
    </row>
    <row r="11" spans="1:7" ht="37.15" customHeight="1" x14ac:dyDescent="0.25">
      <c r="A11" s="292" t="s">
        <v>222</v>
      </c>
      <c r="B11" s="286" t="s">
        <v>228</v>
      </c>
      <c r="C11" s="286"/>
      <c r="D11" s="286"/>
      <c r="E11" s="281"/>
      <c r="F11" s="282"/>
      <c r="G11" s="283">
        <f>E11*F11</f>
        <v>0</v>
      </c>
    </row>
    <row r="12" spans="1:7" ht="50.45" customHeight="1" x14ac:dyDescent="0.25">
      <c r="A12" s="292" t="s">
        <v>223</v>
      </c>
      <c r="B12" s="286" t="s">
        <v>229</v>
      </c>
      <c r="C12" s="286"/>
      <c r="D12" s="286"/>
      <c r="E12" s="281"/>
      <c r="F12" s="282"/>
      <c r="G12" s="283">
        <f t="shared" si="0"/>
        <v>0</v>
      </c>
    </row>
    <row r="13" spans="1:7" ht="54" customHeight="1" x14ac:dyDescent="0.25">
      <c r="A13" s="289" t="s">
        <v>285</v>
      </c>
      <c r="B13" s="290" t="s">
        <v>224</v>
      </c>
      <c r="C13" s="290"/>
      <c r="D13" s="290"/>
      <c r="E13" s="287"/>
      <c r="F13" s="288">
        <f>SUM(F14:F14)</f>
        <v>0</v>
      </c>
      <c r="G13" s="278">
        <f>E13*F13</f>
        <v>0</v>
      </c>
    </row>
    <row r="14" spans="1:7" ht="15" x14ac:dyDescent="0.25">
      <c r="A14" s="284" t="s">
        <v>225</v>
      </c>
      <c r="B14" s="280" t="s">
        <v>238</v>
      </c>
      <c r="C14" s="280"/>
      <c r="D14" s="280"/>
      <c r="E14" s="281"/>
      <c r="F14" s="285"/>
      <c r="G14" s="283">
        <f>E14*F14</f>
        <v>0</v>
      </c>
    </row>
    <row r="15" spans="1:7" ht="28.5" x14ac:dyDescent="0.25">
      <c r="A15" s="274" t="s">
        <v>254</v>
      </c>
      <c r="B15" s="275" t="s">
        <v>255</v>
      </c>
      <c r="C15" s="275"/>
      <c r="D15" s="275"/>
      <c r="E15" s="287"/>
      <c r="F15" s="288">
        <f>SUM(F16:F16)</f>
        <v>0</v>
      </c>
      <c r="G15" s="278">
        <f t="shared" si="0"/>
        <v>0</v>
      </c>
    </row>
    <row r="16" spans="1:7" ht="23.45" customHeight="1" thickBot="1" x14ac:dyDescent="0.3">
      <c r="A16" s="292" t="s">
        <v>227</v>
      </c>
      <c r="B16" s="286" t="s">
        <v>256</v>
      </c>
      <c r="C16" s="286"/>
      <c r="D16" s="286"/>
      <c r="E16" s="281"/>
      <c r="F16" s="285"/>
      <c r="G16" s="283">
        <f t="shared" si="0"/>
        <v>0</v>
      </c>
    </row>
    <row r="17" spans="1:12" ht="15.75" thickBot="1" x14ac:dyDescent="0.3">
      <c r="A17" s="293"/>
      <c r="B17" s="294" t="s">
        <v>230</v>
      </c>
      <c r="C17" s="295"/>
      <c r="D17" s="294"/>
      <c r="E17" s="295">
        <v>1</v>
      </c>
      <c r="F17" s="296">
        <f>F5+F13+F10+F15</f>
        <v>0</v>
      </c>
      <c r="G17" s="307">
        <f t="shared" si="0"/>
        <v>0</v>
      </c>
      <c r="H17" s="320"/>
      <c r="I17" s="321"/>
      <c r="J17" s="322" t="s">
        <v>237</v>
      </c>
      <c r="K17" s="323"/>
      <c r="L17" s="12"/>
    </row>
    <row r="18" spans="1:12" ht="20.45" customHeight="1" x14ac:dyDescent="0.25">
      <c r="A18" s="297"/>
      <c r="B18" s="298"/>
      <c r="C18" s="299"/>
      <c r="D18" s="300"/>
      <c r="E18" s="301" t="s">
        <v>231</v>
      </c>
      <c r="F18" s="302"/>
      <c r="G18" s="308" t="e">
        <f>F18/G17</f>
        <v>#DIV/0!</v>
      </c>
      <c r="H18" s="326" t="s">
        <v>234</v>
      </c>
      <c r="I18" s="327"/>
      <c r="J18" s="327" t="s">
        <v>235</v>
      </c>
      <c r="K18" s="328"/>
      <c r="L18" s="324"/>
    </row>
    <row r="19" spans="1:12" ht="18" customHeight="1" x14ac:dyDescent="0.25">
      <c r="A19" s="297"/>
      <c r="B19" s="298"/>
      <c r="C19" s="299"/>
      <c r="D19" s="300"/>
      <c r="E19" s="301" t="s">
        <v>232</v>
      </c>
      <c r="F19" s="303">
        <f>F17-F18</f>
        <v>0</v>
      </c>
      <c r="G19" s="309" t="e">
        <f>F19/G17</f>
        <v>#DIV/0!</v>
      </c>
      <c r="H19" s="329">
        <v>0.8</v>
      </c>
      <c r="I19" s="327"/>
      <c r="J19" s="325">
        <v>15000</v>
      </c>
      <c r="K19" s="328" t="s">
        <v>233</v>
      </c>
      <c r="L19" s="324"/>
    </row>
    <row r="20" spans="1:12" ht="19.899999999999999" customHeight="1" thickBot="1" x14ac:dyDescent="0.25">
      <c r="H20" s="330">
        <v>0.2</v>
      </c>
      <c r="I20" s="331"/>
      <c r="J20" s="331"/>
      <c r="K20" s="332"/>
      <c r="L20" s="324"/>
    </row>
    <row r="21" spans="1:12" ht="18" x14ac:dyDescent="0.25">
      <c r="A21" s="344" t="s">
        <v>261</v>
      </c>
      <c r="H21" s="333"/>
      <c r="I21" s="333"/>
      <c r="J21" s="333"/>
      <c r="K21" s="333"/>
      <c r="L21" s="12"/>
    </row>
    <row r="23" spans="1:12" x14ac:dyDescent="0.2">
      <c r="A23" s="310"/>
      <c r="B23" s="319" t="s">
        <v>244</v>
      </c>
      <c r="C23" s="311"/>
      <c r="D23" s="311"/>
      <c r="E23" s="311"/>
      <c r="F23" s="312"/>
    </row>
    <row r="24" spans="1:12" ht="28.15" customHeight="1" x14ac:dyDescent="0.2">
      <c r="A24" s="313" t="s">
        <v>243</v>
      </c>
      <c r="B24" s="314" t="s">
        <v>239</v>
      </c>
      <c r="C24" s="314"/>
      <c r="D24" s="314"/>
      <c r="E24" s="314">
        <v>19800</v>
      </c>
      <c r="F24" s="315" t="s">
        <v>240</v>
      </c>
    </row>
    <row r="25" spans="1:12" x14ac:dyDescent="0.2">
      <c r="A25" s="313"/>
      <c r="B25" s="314" t="s">
        <v>241</v>
      </c>
      <c r="C25" s="314"/>
      <c r="D25" s="314"/>
      <c r="E25" s="314">
        <v>15000</v>
      </c>
      <c r="F25" s="345">
        <v>0.75760000000000005</v>
      </c>
    </row>
    <row r="26" spans="1:12" x14ac:dyDescent="0.2">
      <c r="A26" s="313"/>
      <c r="B26" s="314" t="s">
        <v>242</v>
      </c>
      <c r="C26" s="314"/>
      <c r="D26" s="314"/>
      <c r="E26" s="314">
        <v>4800</v>
      </c>
      <c r="F26" s="345">
        <v>0.2424</v>
      </c>
      <c r="H26" s="12"/>
      <c r="I26" s="12"/>
      <c r="J26" s="12"/>
      <c r="K26" s="12"/>
      <c r="L26" s="12"/>
    </row>
    <row r="27" spans="1:12" x14ac:dyDescent="0.2">
      <c r="A27" s="316"/>
      <c r="B27" s="317"/>
      <c r="C27" s="317"/>
      <c r="D27" s="317"/>
      <c r="E27" s="317"/>
      <c r="F27" s="318"/>
      <c r="H27" s="12"/>
      <c r="I27" s="12"/>
      <c r="J27" s="12"/>
      <c r="K27" s="12"/>
      <c r="L27" s="12"/>
    </row>
    <row r="29" spans="1:12" ht="18" x14ac:dyDescent="0.25">
      <c r="A29" s="344"/>
    </row>
  </sheetData>
  <mergeCells count="1">
    <mergeCell ref="E2:F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Algandmed </vt:lpstr>
      <vt:lpstr>Tooted</vt:lpstr>
      <vt:lpstr>Kassavood</vt:lpstr>
      <vt:lpstr>Kasumiaruanne</vt:lpstr>
      <vt:lpstr>Töötajad</vt:lpstr>
      <vt:lpstr>Bilanss</vt:lpstr>
      <vt:lpstr>Majandusnäitajate koondtabel</vt:lpstr>
      <vt:lpstr>toetuse eelarve näidis</vt:lpstr>
      <vt:lpstr>kohu1</vt:lpstr>
      <vt:lpstr>kohu2</vt:lpstr>
      <vt:lpstr>Kassavood!Print_Area</vt:lpstr>
      <vt:lpstr>Kasumiaruanne!Print_Area</vt:lpstr>
      <vt:lpstr>Tooted!Print_Area</vt:lpstr>
      <vt:lpstr>Kassavood!Print_Titles</vt:lpstr>
      <vt:lpstr>Tooted!Print_Titles</vt:lpstr>
      <vt:lpstr>raha1</vt:lpstr>
      <vt:lpstr>raha2</vt:lpstr>
    </vt:vector>
  </TitlesOfParts>
  <Company>Ettevõtluse Arenduse Sihtasutus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Karu</dc:creator>
  <cp:lastModifiedBy>RTK</cp:lastModifiedBy>
  <cp:lastPrinted>2017-07-04T08:16:32Z</cp:lastPrinted>
  <dcterms:created xsi:type="dcterms:W3CDTF">2004-12-15T09:01:57Z</dcterms:created>
  <dcterms:modified xsi:type="dcterms:W3CDTF">2020-08-26T10:07:04Z</dcterms:modified>
</cp:coreProperties>
</file>